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XyeXUtuMBkOEgeH3C8ghyiCtSyHyZnNQVn1JOhWX9eag/1IHPH8Na/dAW/bHhDYml+E0BGp7ZXyB9zRW+zbk4A==" workbookSaltValue="/Nf0a6ObwpTLxujZ/9j+t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R19" i="8"/>
  <c r="EL19" i="8"/>
  <c r="AC11" i="11"/>
  <c r="EQ19" i="8"/>
  <c r="AP12" i="11"/>
  <c r="AT18" i="17"/>
  <c r="B16" i="6"/>
  <c r="AL10" i="11"/>
  <c r="N10" i="11"/>
  <c r="N9" i="11"/>
  <c r="T10" i="21"/>
  <c r="AO16" i="11"/>
  <c r="F10" i="10"/>
  <c r="N11" i="11"/>
  <c r="ES19" i="8"/>
  <c r="C18" i="7"/>
  <c r="S19" i="13"/>
  <c r="AG19" i="19"/>
  <c r="F9" i="11"/>
  <c r="R8" i="9"/>
  <c r="X12" i="21" s="1"/>
  <c r="CI19" i="8"/>
  <c r="F17" i="16"/>
  <c r="BL17" i="16" s="1"/>
  <c r="EP19" i="8"/>
  <c r="ER19" i="13"/>
  <c r="AL13" i="16"/>
  <c r="AP16" i="20"/>
  <c r="BH9" i="16"/>
  <c r="BH11" i="16"/>
  <c r="V15" i="11"/>
  <c r="BL9" i="11"/>
  <c r="BJ17" i="11"/>
  <c r="BH17" i="16"/>
  <c r="BH15" i="11"/>
  <c r="BG10" i="11"/>
  <c r="BH15" i="16"/>
  <c r="BM16" i="11"/>
  <c r="Q17" i="20"/>
  <c r="Q18" i="20" s="1"/>
  <c r="P17" i="17"/>
  <c r="V11" i="16"/>
  <c r="BL17" i="11"/>
  <c r="BF17" i="11"/>
  <c r="BK12" i="11"/>
  <c r="BF16" i="11"/>
  <c r="BF10" i="11"/>
  <c r="S17" i="16"/>
  <c r="BK9" i="11"/>
  <c r="BL12" i="11"/>
  <c r="S13" i="16"/>
  <c r="V12" i="21"/>
  <c r="H18" i="16"/>
  <c r="P13" i="16"/>
  <c r="AN13" i="20"/>
  <c r="F15" i="17"/>
  <c r="X11" i="17"/>
  <c r="Z13" i="17"/>
  <c r="F17" i="17"/>
  <c r="AQ17" i="17" s="1"/>
  <c r="AO17" i="11"/>
  <c r="M13" i="2"/>
  <c r="N13" i="2"/>
  <c r="B17" i="6"/>
  <c r="AO12" i="11"/>
  <c r="L12" i="14"/>
  <c r="B12" i="6"/>
  <c r="AO12" i="17"/>
  <c r="AC10" i="11"/>
  <c r="H13" i="12"/>
  <c r="T19" i="8"/>
  <c r="AJ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D12" i="8"/>
  <c r="H12" i="7" s="1"/>
  <c r="BG15" i="8"/>
  <c r="BE9" i="8"/>
  <c r="BA13" i="8"/>
  <c r="X12" i="17"/>
  <c r="L10" i="2"/>
  <c r="AV18" i="17"/>
  <c r="J18" i="17"/>
  <c r="L15" i="2"/>
  <c r="L12" i="2"/>
  <c r="L16" i="2"/>
  <c r="U9" i="17"/>
  <c r="U19" i="17" s="1"/>
  <c r="T13" i="16"/>
  <c r="AP13" i="16"/>
  <c r="V9"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Y19" i="8" l="1"/>
  <c r="AE19" i="8"/>
  <c r="E15" i="6"/>
  <c r="AW18" i="21"/>
  <c r="H15" i="2"/>
  <c r="C11" i="6"/>
  <c r="AB19" i="8"/>
  <c r="BG10" i="8"/>
  <c r="BD9" i="8"/>
  <c r="E9" i="6"/>
  <c r="F9" i="2"/>
  <c r="E11" i="6"/>
  <c r="AO9" i="11"/>
  <c r="B9" i="6"/>
  <c r="H12" i="2"/>
  <c r="M18" i="2"/>
  <c r="N18" i="2"/>
  <c r="D11" i="12"/>
  <c r="BF11" i="8"/>
  <c r="J11" i="7" s="1"/>
  <c r="BF9" i="8"/>
  <c r="J9" i="7" s="1"/>
  <c r="BG9" i="8"/>
  <c r="K9" i="7" s="1"/>
  <c r="C10" i="6"/>
  <c r="BD15" i="8"/>
  <c r="H15" i="7" s="1"/>
  <c r="BE15" i="8"/>
  <c r="BG16" i="8"/>
  <c r="K16" i="7" s="1"/>
  <c r="E18" i="2"/>
  <c r="AL15" i="11"/>
  <c r="L16" i="14"/>
  <c r="F15" i="11"/>
  <c r="AQ15" i="11" s="1"/>
  <c r="F16" i="17"/>
  <c r="AY13" i="13"/>
  <c r="BG13" i="13" s="1"/>
  <c r="BE9" i="13"/>
  <c r="BB13" i="13"/>
  <c r="BE13" i="13" s="1"/>
  <c r="D12" i="12"/>
  <c r="BD11" i="8"/>
  <c r="BE11" i="8"/>
  <c r="I11" i="7" s="1"/>
  <c r="BG12" i="8"/>
  <c r="BE12" i="8"/>
  <c r="I12" i="7" s="1"/>
  <c r="L11" i="14"/>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J9" i="12" s="1"/>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I17" i="12" l="1"/>
  <c r="F18" i="11"/>
  <c r="D19" i="5"/>
  <c r="K9" i="12"/>
  <c r="F19" i="7"/>
  <c r="H13" i="2"/>
  <c r="G21" i="11"/>
  <c r="AM13" i="11"/>
  <c r="K16" i="12"/>
  <c r="I11" i="12"/>
  <c r="C18" i="6"/>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<sst xmlns="http://schemas.openxmlformats.org/spreadsheetml/2006/main" count="2088" uniqueCount="918">
  <si>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</si>
  <si>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</si>
  <si>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</si>
  <si>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</si>
  <si>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</si>
  <si>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</si>
  <si>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</si>
  <si>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</si>
  <si>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</si>
  <si>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</si>
  <si>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</si>
  <si>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</si>
  <si>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</si>
  <si>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</si>
  <si>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</si>
  <si>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</si>
  <si>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</si>
  <si>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</si>
  <si>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</si>
  <si>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</si>
  <si>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</si>
  <si>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</si>
  <si>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</si>
  <si>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</si>
  <si>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</si>
  <si>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</si>
  <si>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</si>
  <si>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</si>
  <si>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</si>
  <si>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</si>
  <si>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</si>
  <si>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</si>
  <si>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</si>
  <si>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</si>
  <si>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</si>
  <si>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</si>
  <si>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</si>
  <si>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</si>
  <si>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</si>
  <si>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</si>
  <si>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</si>
  <si>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</si>
  <si>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</si>
  <si>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</si>
  <si>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</si>
  <si>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</si>
  <si>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</si>
  <si>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</si>
  <si>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</si>
  <si>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</si>
  <si>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</si>
  <si>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</si>
  <si>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</si>
  <si>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</si>
  <si>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</si>
  <si>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</si>
  <si>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</si>
  <si>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</si>
  <si>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</si>
  <si>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</si>
  <si>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</si>
  <si>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</si>
  <si>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</si>
  <si>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</si>
  <si>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</si>
  <si>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</si>
  <si>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</si>
  <si>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</si>
  <si>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</si>
  <si>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</si>
  <si>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</si>
  <si>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</si>
  <si>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</si>
  <si>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</si>
  <si>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</si>
  <si>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</si>
  <si>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</si>
  <si>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</si>
  <si>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</si>
  <si>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</si>
  <si>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</si>
  <si>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</si>
  <si>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</si>
  <si>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</si>
  <si>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</si>
  <si>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</si>
  <si>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</si>
  <si>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</si>
  <si>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</si>
  <si>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</si>
  <si>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</si>
  <si>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</si>
  <si>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</si>
  <si>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</si>
  <si>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</si>
  <si>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</si>
  <si>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</si>
  <si>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</si>
  <si>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</si>
  <si>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</si>
  <si>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</si>
  <si>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</si>
  <si>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</si>
  <si>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</si>
  <si>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</si>
  <si>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</si>
  <si>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</si>
  <si>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</si>
  <si>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</si>
  <si>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</si>
  <si>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</si>
  <si>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</si>
  <si>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</si>
  <si>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</si>
  <si>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</si>
  <si>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</si>
  <si>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</si>
  <si>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</si>
  <si>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</si>
  <si>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</si>
  <si>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</si>
  <si>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</si>
  <si>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</si>
  <si>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</si>
  <si>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</si>
  <si>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</si>
  <si>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</si>
  <si>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</si>
  <si>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</si>
  <si>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</si>
  <si>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</si>
  <si>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</si>
  <si>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</si>
  <si>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</si>
  <si>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</si>
  <si>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</si>
  <si>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</si>
  <si>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</si>
  <si>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</si>
  <si>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</si>
  <si>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</si>
  <si>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</si>
  <si>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</si>
  <si>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</si>
  <si>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</si>
  <si>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</si>
  <si>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</si>
  <si>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</si>
  <si>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</si>
  <si>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</si>
  <si>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</si>
  <si>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</si>
  <si>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</si>
  <si>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</si>
  <si>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</si>
  <si>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</si>
  <si>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</si>
  <si>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</si>
  <si>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</si>
  <si>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</si>
  <si>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</si>
  <si>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</si>
  <si>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</si>
  <si>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</si>
  <si>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</si>
  <si>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</si>
  <si>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</si>
  <si>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</si>
  <si>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</si>
  <si>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</si>
  <si>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</si>
  <si>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</si>
  <si>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</si>
  <si>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</si>
  <si>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</si>
  <si>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</si>
  <si>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</si>
  <si>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</si>
  <si>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</si>
  <si>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</si>
  <si>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</si>
  <si>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</si>
  <si>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</si>
  <si>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</si>
  <si>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</si>
  <si>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</si>
  <si>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</si>
  <si>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</si>
  <si>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</si>
  <si>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</si>
  <si>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</si>
  <si>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</si>
  <si>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</si>
  <si>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</si>
  <si>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</si>
  <si>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</si>
  <si>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</si>
  <si>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</si>
  <si>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</si>
  <si>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</si>
  <si>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</si>
  <si>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</si>
  <si>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</si>
  <si>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</si>
  <si>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</si>
  <si>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</si>
  <si>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</si>
  <si>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</si>
  <si>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</si>
  <si>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</si>
  <si>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</si>
  <si>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</si>
  <si>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</si>
  <si>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</si>
  <si>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</si>
  <si>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</si>
  <si>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</si>
  <si>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</si>
  <si>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</si>
  <si>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</si>
  <si>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</si>
  <si>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</si>
  <si>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</si>
  <si>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</si>
  <si>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</si>
  <si>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</si>
  <si>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</si>
  <si>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</si>
  <si>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</si>
  <si>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</si>
  <si>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</si>
  <si>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</si>
  <si>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</si>
  <si>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</si>
  <si>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</si>
  <si>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</si>
  <si>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</si>
  <si>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</si>
  <si>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</si>
  <si>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</si>
  <si>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</si>
  <si>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</si>
  <si>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</si>
  <si>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</si>
  <si>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</si>
  <si>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</si>
  <si>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</si>
  <si>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</si>
  <si>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</si>
  <si>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</si>
  <si>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</si>
  <si>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</si>
  <si>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</si>
  <si>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</si>
  <si>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</si>
  <si>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</si>
  <si>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</si>
  <si>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</si>
  <si>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</si>
  <si>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</si>
  <si>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</si>
  <si>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</si>
  <si>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</si>
  <si>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</si>
  <si>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</si>
  <si>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</si>
  <si>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</si>
  <si>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</si>
  <si>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</si>
  <si>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</si>
  <si>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</si>
  <si>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</si>
  <si>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</si>
  <si>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</si>
  <si>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</si>
  <si>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</si>
  <si>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</si>
  <si>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</si>
  <si>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</si>
  <si>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</si>
  <si>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</si>
  <si>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</si>
  <si>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</si>
  <si>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</si>
  <si>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</si>
  <si>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</si>
  <si>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</si>
  <si>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</si>
  <si>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</si>
  <si>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</si>
  <si>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</si>
  <si>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</si>
  <si>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</si>
  <si>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</si>
  <si>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</si>
  <si>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</si>
  <si>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</si>
  <si>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</si>
  <si>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</si>
  <si>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</si>
  <si>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</si>
  <si>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</si>
  <si>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</si>
  <si>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</si>
  <si>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</si>
  <si>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</si>
  <si>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</si>
  <si>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</si>
  <si>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</si>
  <si>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</si>
  <si>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</si>
  <si>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</si>
  <si>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</si>
  <si>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</si>
  <si>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</si>
  <si>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</si>
  <si>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</si>
  <si>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</si>
  <si>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</si>
  <si>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</si>
  <si>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</si>
  <si>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</si>
  <si>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</si>
  <si>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</si>
  <si>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</si>
  <si>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</si>
  <si>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</si>
  <si>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</si>
  <si>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</si>
  <si>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</si>
  <si>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</si>
  <si>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</si>
  <si>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</si>
  <si>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</si>
  <si>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</si>
  <si>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</si>
  <si>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</si>
  <si>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</si>
  <si>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</si>
  <si>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</si>
  <si>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</si>
  <si>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</si>
  <si>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</si>
  <si>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</si>
  <si>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</si>
  <si>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</si>
  <si>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</si>
  <si>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</si>
  <si>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</si>
  <si>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</si>
  <si>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</si>
  <si>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</si>
  <si>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</si>
  <si>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</si>
  <si>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</si>
  <si>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</si>
  <si>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</si>
  <si>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</si>
  <si>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</si>
  <si>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</si>
  <si>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</si>
  <si>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</si>
  <si>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</si>
  <si>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</si>
  <si>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</si>
  <si>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</si>
  <si>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</si>
  <si>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</si>
  <si>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</si>
  <si>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</si>
  <si>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</si>
  <si>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</si>
  <si>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</si>
  <si>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</si>
  <si>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</si>
  <si>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</si>
  <si>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</si>
  <si>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</si>
  <si>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</si>
  <si>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</si>
  <si>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</si>
  <si>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</si>
  <si>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</si>
  <si>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</si>
  <si>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</si>
  <si>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</si>
  <si>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</si>
  <si>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</si>
  <si>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</si>
  <si>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</si>
  <si>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</si>
  <si>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</si>
  <si>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</si>
  <si>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</si>
  <si>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</si>
  <si>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</si>
  <si>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</si>
  <si>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</si>
  <si>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</si>
  <si>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</si>
  <si>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</si>
  <si>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</si>
  <si>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</si>
  <si>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</si>
  <si>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</si>
  <si>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</si>
  <si>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</si>
  <si>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</si>
  <si>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</si>
  <si>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</si>
  <si>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</si>
  <si>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</si>
  <si>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</si>
  <si>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</si>
  <si>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</si>
  <si>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</si>
  <si>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</si>
  <si>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</si>
  <si>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</si>
  <si>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</si>
  <si>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</si>
  <si>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</si>
  <si>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</si>
  <si>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</si>
  <si>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</si>
  <si>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</si>
  <si>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</si>
  <si>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</si>
  <si>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</si>
  <si>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</si>
  <si>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</si>
  <si>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</si>
  <si>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</si>
  <si>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</si>
  <si>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</si>
  <si>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</si>
  <si>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</si>
  <si>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</si>
  <si>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</si>
  <si>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</si>
  <si>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</si>
  <si>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</si>
  <si>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</si>
  <si>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</si>
  <si>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</si>
  <si>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</si>
  <si>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</si>
  <si>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</si>
  <si>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</si>
  <si>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</si>
  <si>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</si>
  <si>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</si>
  <si>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</si>
  <si>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</si>
  <si>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</si>
  <si>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</si>
  <si>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</si>
  <si>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</si>
  <si>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</si>
  <si>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</si>
  <si>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</si>
  <si>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</si>
  <si>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</si>
  <si>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</si>
  <si>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</si>
  <si>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</si>
  <si>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</si>
  <si>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</si>
  <si>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</si>
  <si>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</si>
  <si>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</si>
  <si>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</si>
  <si>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</si>
  <si>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</si>
  <si>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</si>
  <si>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</si>
  <si>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</si>
  <si>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</si>
  <si>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</si>
  <si>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</si>
  <si>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</si>
  <si>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</si>
  <si>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</si>
  <si>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</si>
  <si>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</si>
  <si>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</si>
  <si>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</si>
  <si>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</si>
  <si>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</si>
  <si>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</si>
  <si>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</si>
  <si>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</si>
  <si>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</si>
  <si>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</si>
  <si>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</si>
  <si>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</si>
  <si>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</si>
  <si>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</si>
  <si>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</si>
  <si>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</si>
  <si>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</si>
  <si>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</si>
  <si>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</si>
  <si>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</si>
  <si>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</si>
  <si>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</si>
  <si>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</si>
  <si>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</si>
  <si>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</si>
  <si>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</si>
  <si>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</si>
  <si>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</si>
  <si>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</si>
  <si>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</si>
  <si>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</si>
  <si>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</si>
  <si>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</si>
  <si>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</si>
  <si>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</si>
  <si>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</si>
  <si>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</si>
  <si>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</si>
  <si>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</si>
  <si>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</si>
  <si>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</si>
  <si>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</si>
  <si>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</si>
  <si>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</si>
  <si>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</si>
  <si>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</si>
  <si>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</si>
  <si>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</si>
  <si>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</si>
  <si>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</si>
  <si>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</si>
  <si>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</si>
  <si>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</si>
  <si>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</si>
  <si>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</si>
  <si>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</si>
  <si>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</si>
  <si>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</si>
  <si>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</si>
  <si>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</si>
  <si>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</si>
  <si>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</si>
  <si>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</si>
  <si>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</si>
  <si>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</si>
  <si>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</si>
  <si>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</si>
  <si>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</si>
  <si>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</si>
  <si>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</si>
  <si>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</si>
  <si>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</si>
  <si>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</si>
  <si>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</si>
  <si>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</si>
  <si>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</si>
  <si>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</si>
  <si>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</si>
  <si>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</si>
  <si>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</si>
  <si>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</si>
  <si>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</si>
  <si>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</si>
  <si>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</si>
  <si>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</si>
  <si>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</si>
  <si>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</si>
  <si>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</si>
  <si>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</si>
  <si>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</si>
  <si>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</si>
  <si>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</si>
  <si>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</si>
  <si>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</si>
  <si>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</si>
  <si>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</si>
  <si>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</si>
  <si>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</si>
  <si>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</si>
  <si>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</si>
  <si>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</si>
  <si>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</si>
  <si>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</si>
  <si>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</si>
  <si>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</si>
  <si>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</si>
  <si>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</si>
  <si>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</si>
  <si>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</si>
  <si>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</si>
  <si>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</si>
  <si>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</si>
  <si>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</si>
  <si>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</si>
  <si>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</si>
  <si>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</si>
  <si>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</si>
  <si>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</si>
  <si>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</si>
  <si>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</si>
  <si>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</si>
  <si>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</si>
  <si>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</si>
  <si>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</si>
  <si>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</si>
  <si>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</si>
  <si>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</si>
  <si>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</si>
  <si>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</si>
  <si>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</si>
  <si>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</si>
  <si>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</si>
  <si>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</si>
  <si>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</si>
  <si>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</si>
  <si>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</si>
  <si>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</si>
  <si>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</si>
  <si>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</si>
  <si>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</si>
  <si>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</si>
  <si>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</si>
  <si>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</si>
  <si>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</si>
  <si>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</si>
  <si>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</si>
  <si>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</si>
  <si>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</si>
  <si>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</si>
  <si>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</si>
  <si>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</si>
  <si>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</si>
  <si>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</si>
  <si>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</si>
  <si>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</si>
  <si>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</si>
  <si>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</si>
  <si>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</si>
  <si>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</si>
  <si>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</si>
  <si>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</si>
  <si>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</si>
  <si>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</si>
  <si>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</si>
  <si>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</si>
  <si>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</si>
  <si>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</si>
  <si>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</si>
  <si>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</si>
  <si>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</si>
  <si>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</si>
  <si>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</si>
  <si>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</si>
  <si>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</si>
  <si>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</si>
  <si>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</si>
  <si>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</si>
  <si>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</si>
  <si>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</si>
  <si>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</si>
  <si>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</si>
  <si>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</si>
  <si>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</si>
  <si>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</si>
  <si>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</si>
  <si>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</si>
  <si>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</si>
  <si>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</si>
  <si>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</si>
  <si>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</si>
  <si>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</si>
  <si>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</si>
  <si>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</si>
  <si>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</si>
  <si>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</si>
  <si>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</si>
  <si>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</si>
  <si>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</si>
  <si>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</si>
  <si>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</si>
  <si>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</si>
  <si>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</si>
  <si>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</si>
  <si>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</si>
  <si>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</si>
  <si>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</si>
  <si>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</si>
  <si>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</si>
  <si>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</si>
  <si>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</si>
  <si>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</si>
  <si>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</si>
  <si>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</si>
  <si>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</si>
  <si>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</si>
  <si>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</si>
  <si>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</si>
  <si>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</si>
  <si>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</si>
  <si>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</si>
  <si>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</si>
  <si>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</si>
  <si>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</si>
  <si>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</si>
  <si>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</si>
  <si>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</si>
  <si>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</si>
  <si>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</si>
  <si>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</si>
  <si>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</si>
  <si>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</si>
  <si>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</si>
  <si>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</si>
  <si>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</si>
  <si>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</si>
  <si>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</si>
  <si>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</si>
  <si>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</si>
  <si>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</si>
  <si>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</si>
  <si>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</si>
  <si>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</si>
  <si>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</si>
  <si>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</si>
  <si>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</si>
  <si>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</si>
  <si>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</si>
  <si>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</si>
  <si>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</si>
  <si>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</si>
  <si>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</si>
  <si>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</si>
  <si>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</si>
  <si>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</si>
  <si>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</si>
  <si>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</si>
  <si>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</si>
  <si>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</si>
  <si>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</si>
  <si>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</si>
  <si>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</si>
  <si>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</si>
  <si>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</si>
  <si>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</si>
  <si>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</si>
  <si>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</si>
  <si>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</si>
  <si>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</si>
  <si>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</si>
  <si>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</si>
  <si>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</si>
  <si>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</si>
  <si>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</si>
  <si>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</si>
  <si>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</si>
  <si>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</si>
  <si>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</si>
  <si>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</si>
  <si>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</si>
  <si>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</si>
  <si>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</si>
  <si>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</si>
  <si>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</si>
  <si>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</si>
  <si>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</si>
  <si>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</si>
  <si>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</si>
  <si>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</si>
  <si>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</si>
  <si>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</si>
  <si>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</si>
  <si>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</si>
  <si>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</si>
  <si>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</si>
  <si>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</si>
  <si>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</si>
  <si>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</si>
  <si>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</si>
  <si>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</si>
  <si>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</si>
  <si>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</si>
  <si>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</si>
  <si>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</si>
  <si>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</si>
  <si>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</si>
  <si>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</si>
  <si>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</si>
  <si>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</si>
  <si>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</si>
  <si>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</si>
  <si>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</si>
  <si>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</si>
  <si>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</si>
  <si>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</si>
  <si>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</si>
  <si>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</si>
  <si>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</si>
  <si>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</si>
  <si>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</si>
  <si>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</si>
  <si>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</si>
  <si>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</si>
  <si>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</si>
  <si>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</si>
  <si>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</si>
  <si>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</si>
  <si>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</si>
  <si>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</si>
  <si>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</si>
  <si>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</si>
  <si>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</si>
  <si>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</si>
  <si>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</si>
  <si>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</si>
  <si>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</si>
  <si>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</si>
  <si>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</si>
  <si>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</si>
  <si>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</si>
  <si>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</si>
  <si>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</si>
  <si>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</si>
  <si>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</si>
  <si>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</si>
  <si>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</si>
  <si>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</si>
  <si>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</si>
  <si>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</si>
  <si>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</si>
  <si>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</si>
  <si>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</si>
  <si>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</si>
  <si>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</si>
  <si>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</si>
  <si>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</si>
  <si>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</si>
  <si>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</si>
  <si>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</si>
  <si>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</si>
  <si>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</si>
  <si>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</si>
  <si>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</si>
  <si>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</si>
  <si>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</si>
  <si>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</si>
  <si>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</si>
  <si>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</si>
  <si>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</si>
  <si>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</si>
  <si>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</si>
  <si>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</si>
  <si>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</si>
  <si>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</si>
  <si>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</si>
  <si>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</si>
  <si>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</si>
  <si>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</si>
  <si>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</si>
  <si>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</si>
  <si>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</si>
  <si>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</si>
  <si>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</si>
  <si>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</si>
  <si>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</si>
  <si>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</si>
  <si>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</si>
  <si>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</si>
  <si>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</si>
  <si>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</si>
  <si>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</si>
  <si>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</si>
  <si>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</si>
  <si>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</si>
  <si>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</si>
  <si>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</si>
  <si>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</si>
  <si>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</si>
  <si>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</si>
  <si>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</si>
  <si>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</si>
  <si>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</si>
  <si>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</si>
  <si>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</si>
  <si>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</si>
  <si>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</si>
  <si>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</si>
  <si>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</si>
  <si>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</si>
  <si>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</si>
  <si>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</si>
  <si>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</si>
  <si>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</si>
  <si>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</si>
  <si>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</si>
  <si>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</si>
  <si>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</si>
  <si>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</si>
  <si>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</si>
  <si>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</si>
  <si>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</si>
  <si>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</si>
  <si>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</si>
  <si>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</si>
  <si>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</si>
  <si>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</si>
  <si>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</si>
  <si>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</si>
  <si>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</si>
  <si>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</si>
  <si>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</si>
  <si>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</si>
  <si>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BARCELONA</t>
  </si>
  <si>
    <t>Resumenes por Partidos Judiciales</t>
  </si>
  <si>
    <t>GRANOLLERS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</si>
</sst>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ZUo9gkbShQPPdUzWmNromMPLAB0/oem1ZQGnImV2eFEc8zVULeD4RXnsJDtKkYoamcFiQAya/OOS1FygtSiXg==" saltValue="gr8mynySn5pJBlbu+QR5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8</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4.6992641972203009</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185</v>
      </c>
      <c r="D10" s="224">
        <f>IF(ISNUMBER(Datos!I10),Datos!I10," - ")</f>
        <v>185</v>
      </c>
      <c r="E10" s="225">
        <f>IF(ISNUMBER(Datos!J10),Datos!J10," - ")</f>
        <v>203</v>
      </c>
      <c r="F10" s="225">
        <f>IF(ISNUMBER(Datos!K10),Datos!K10," - ")</f>
        <v>221</v>
      </c>
      <c r="G10" s="1033" t="str">
        <f>IF(Datos!E10&lt;&gt;"",Datos!E10,Datos!D10)</f>
        <v>37</v>
      </c>
      <c r="H10" s="226">
        <f>IF(ISNUMBER(Datos!L10),Datos!L10," - ")</f>
        <v>167</v>
      </c>
      <c r="I10" s="1043" t="str">
        <f>IF(ISNUMBER(Datos!AS10/Datos!BM10),Datos!AS10/Datos!BM10," - ")</f>
        <v xml:space="preserve"> - </v>
      </c>
      <c r="J10" s="1044">
        <f>IF(ISNUMBER(Datos!BY10/Datos!CN10),Datos!BY10/Datos!CN10," - ")</f>
        <v>0</v>
      </c>
      <c r="K10" s="229">
        <f t="shared" ref="K10:K12" si="1">IF(ISNUMBER((E10-F10)/C10),(E10-F10)/C10," - ")</f>
        <v>-9.7297297297297303E-2</v>
      </c>
      <c r="L10" s="1024">
        <f>IF(ISNUMBER(NºAsuntos!I10/NºAsuntos!G10),(NºAsuntos!I10/NºAsuntos!G10)*11," - ")</f>
        <v>8.3122171945701346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2.9189080690485749</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185</v>
      </c>
      <c r="D13" s="1048">
        <f>SUBTOTAL(9,D9:D12)</f>
        <v>185</v>
      </c>
      <c r="E13" s="1049">
        <f>SUBTOTAL(9,E9:E12)</f>
        <v>203</v>
      </c>
      <c r="F13" s="1050">
        <f>SUBTOTAL(9,F9:F12)</f>
        <v>221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7955</v>
      </c>
      <c r="D15" s="224">
        <f>IF(ISNUMBER(IF(D_I="SI",Datos!I15,Datos!I15+Datos!AC15)),IF(D_I="SI",Datos!I15,Datos!I15+Datos!AC15)," - ")</f>
        <v>7872</v>
      </c>
      <c r="E15" s="225">
        <f>IF(ISNUMBER(IF(D_I="SI",Datos!J15,Datos!J15+Datos!AD15)),IF(D_I="SI",Datos!J15,Datos!J15+Datos!AD15)," - ")</f>
        <v>15886</v>
      </c>
      <c r="F15" s="225">
        <f>IF(ISNUMBER(IF(D_I="SI",Datos!K15,Datos!K15+Datos!AE15)),IF(D_I="SI",Datos!K15,Datos!K15+Datos!AE15)," - ")</f>
        <v>16377</v>
      </c>
      <c r="G15" s="1033" t="str">
        <f>IF(Datos!E15&lt;&gt;"",Datos!E15,Datos!D15)</f>
        <v>03</v>
      </c>
      <c r="H15" s="226">
        <f>IF(ISNUMBER(IF(D_I="SI",Datos!L15,Datos!L15+Datos!AF15)),IF(D_I="SI",Datos!L15,Datos!L15+Datos!AF15)," - ")</f>
        <v>7464</v>
      </c>
      <c r="I15" s="1043" t="str">
        <f>IF(ISNUMBER(Datos!AS15/Datos!BM15),Datos!AS15/Datos!BM15," - ")</f>
        <v xml:space="preserve"> - </v>
      </c>
      <c r="J15" s="1044">
        <f>IF(ISNUMBER(Datos!BY15/Datos!CN15),Datos!BY15/Datos!CN15," - ")</f>
        <v>0</v>
      </c>
      <c r="K15" s="229">
        <f t="shared" ref="K15:K17" si="3">IF(ISNUMBER((E15-F15)/C15),(E15-F15)/C15," - ")</f>
        <v>-6.172218730358265E-2</v>
      </c>
      <c r="L15" s="1024">
        <f>IF(ISNUMBER(NºAsuntos!I15/NºAsuntos!G15),(NºAsuntos!I15/NºAsuntos!G15)*11," - ")</f>
        <v>5.0133724125297672</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401</v>
      </c>
      <c r="D17" s="224">
        <f>IF(ISNUMBER(IF(D_I="SI",Datos!I17,Datos!I17+Datos!AC17)),IF(D_I="SI",Datos!I17,Datos!I17+Datos!AC17)," - ")</f>
        <v>382</v>
      </c>
      <c r="E17" s="225">
        <f>IF(ISNUMBER(IF(D_I="SI",Datos!J17,Datos!J17+Datos!AD17)),IF(D_I="SI",Datos!J17,Datos!J17+Datos!AD17)," - ")</f>
        <v>1152</v>
      </c>
      <c r="F17" s="225">
        <f>IF(ISNUMBER(IF(D_I="SI",Datos!K17,Datos!K17+Datos!AE17)),IF(D_I="SI",Datos!K17,Datos!K17+Datos!AE17)," - ")</f>
        <v>1054</v>
      </c>
      <c r="G17" s="1033" t="str">
        <f>IF(Datos!E17&lt;&gt;"",Datos!E17,Datos!D17)</f>
        <v>37</v>
      </c>
      <c r="H17" s="226">
        <f>IF(ISNUMBER(IF(D_I="SI",Datos!L17,Datos!L17+Datos!AF17)),IF(D_I="SI",Datos!L17,Datos!L17+Datos!AF17)," - ")</f>
        <v>499</v>
      </c>
      <c r="I17" s="1043" t="str">
        <f>IF(ISNUMBER(Datos!AS17/Datos!BM17),Datos!AS17/Datos!BM17," - ")</f>
        <v xml:space="preserve"> - </v>
      </c>
      <c r="J17" s="1044" t="str">
        <f>IF(ISNUMBER((Datos!BY17+Datos!BZ17)/Datos!CN17),(Datos!BY17+Datos!BZ17)/Datos!CN17," - ")</f>
        <v xml:space="preserve"> - </v>
      </c>
      <c r="K17" s="229">
        <f t="shared" si="3"/>
        <v>0.24438902743142144</v>
      </c>
      <c r="L17" s="1024">
        <f>IF(ISNUMBER(NºAsuntos!I17/NºAsuntos!G17),(NºAsuntos!I17/NºAsuntos!G17)*11," - ")</f>
        <v>5.2077798861480078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8356</v>
      </c>
      <c r="D18" s="1048">
        <f>SUBTOTAL(9,D15:D17)</f>
        <v>8254</v>
      </c>
      <c r="E18" s="1049">
        <f>SUBTOTAL(9,E15:E17)</f>
        <v>17038</v>
      </c>
      <c r="F18" s="1049">
        <f>SUBTOTAL(9,F15:F17)</f>
        <v>17431</v>
      </c>
      <c r="G18" s="1051" t="str">
        <f ca="1">INDIRECT(CONCATENATE("G",ROW()-1))</f>
        <v>37</v>
      </c>
      <c r="H18" s="1052">
        <f ca="1">SUMIF(G$14:G17,G18,H$14:H17)</f>
        <v>499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8541</v>
      </c>
      <c r="D19" s="1070">
        <f>SUBTOTAL(9,D9:D18)</f>
        <v>8439</v>
      </c>
      <c r="E19" s="1071">
        <f>SUBTOTAL(9,E9:E18)</f>
        <v>17241</v>
      </c>
      <c r="F19" s="1071">
        <f>SUBTOTAL(9,F9:F18)</f>
        <v>17652</v>
      </c>
      <c r="G19" s="1072"/>
      <c r="H19" s="1073">
        <f ca="1">SUMIF(B9:B18,"TOTAL",H9:H18)</f>
        <v>499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2anP8DYvwCShRDKed4L3NvThCumTfbd1RZfg4JGOZoCiqzuNh5DJSsfac+QJ5pNCakXYK5MVuaTBfcM7EoA==" saltValue="HHiZX8ElA50Xv09YRM01Z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5bYq9HLJnl8FzVqBk4lHJHjv/3x9NU6ltCDxOLC75irCgjxgYLPuETgzhh2rj6DW6T6FzTOyM9bPpgkjFwgwMA==" saltValue="XiFuovhnEIGPB4mzVZuo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8273</v>
      </c>
      <c r="J9" s="180">
        <v>13831</v>
      </c>
      <c r="K9" s="180">
        <v>15492</v>
      </c>
      <c r="L9" s="180">
        <v>6658</v>
      </c>
      <c r="M9" s="180">
        <v>3773</v>
      </c>
      <c r="N9" s="180">
        <v>7514</v>
      </c>
      <c r="O9" s="180">
        <v>7191</v>
      </c>
      <c r="P9" s="180">
        <v>6781</v>
      </c>
      <c r="Q9" s="180">
        <v>6465</v>
      </c>
      <c r="R9" s="180">
        <v>17595</v>
      </c>
      <c r="S9" s="180">
        <v>9051</v>
      </c>
      <c r="T9" s="180">
        <v>13511</v>
      </c>
      <c r="U9" s="180">
        <v>14275</v>
      </c>
      <c r="V9" s="180">
        <v>8273</v>
      </c>
      <c r="W9" s="180">
        <v>3468</v>
      </c>
      <c r="X9" s="187">
        <v>6197</v>
      </c>
      <c r="Y9" s="190">
        <v>98</v>
      </c>
      <c r="Z9" s="180">
        <v>442</v>
      </c>
      <c r="AA9" s="180">
        <v>409</v>
      </c>
      <c r="AB9" s="180">
        <v>135</v>
      </c>
      <c r="AC9" s="180">
        <v>0</v>
      </c>
      <c r="AD9" s="180">
        <v>0</v>
      </c>
      <c r="AE9" s="180">
        <v>0</v>
      </c>
      <c r="AF9" s="187">
        <v>0</v>
      </c>
      <c r="AG9" s="190">
        <v>126</v>
      </c>
      <c r="AH9" s="180">
        <v>434</v>
      </c>
      <c r="AI9" s="180">
        <v>471</v>
      </c>
      <c r="AJ9" s="191">
        <v>98</v>
      </c>
      <c r="AK9" s="179">
        <v>0</v>
      </c>
      <c r="AL9" s="180">
        <v>0</v>
      </c>
      <c r="AM9" s="180">
        <v>0</v>
      </c>
      <c r="AN9" s="187">
        <v>0</v>
      </c>
      <c r="AO9" s="257">
        <v>8</v>
      </c>
      <c r="AP9" s="153">
        <v>8</v>
      </c>
      <c r="AQ9" s="153">
        <v>8</v>
      </c>
      <c r="AR9" s="192">
        <v>8</v>
      </c>
      <c r="AS9" s="337" t="s">
        <v>791</v>
      </c>
      <c r="AT9" s="194"/>
      <c r="AU9" s="193"/>
      <c r="AV9" s="194"/>
      <c r="AW9" s="193"/>
      <c r="AX9" s="194"/>
      <c r="AY9" s="123">
        <f>IF(ISNUMBER(IF(J_V="SI",S9,S9+AG9)),IF(J_V="SI",S9,S9+AG9)," - ")</f>
        <v>9177</v>
      </c>
      <c r="AZ9" s="123">
        <f>IF(ISNUMBER(IF(J_V="SI",T9,T9+AH9)),IF(J_V="SI",T9,T9+AH9)," - ")</f>
        <v>13945</v>
      </c>
      <c r="BA9" s="124">
        <f>IF(ISNUMBER(IF(J_V="SI",U9,U9+AI9)),IF(J_V="SI",U9,U9+AI9)," - ")</f>
        <v>14746</v>
      </c>
      <c r="BB9" s="124">
        <f>IF(ISNUMBER(IF(J_V="SI",V9,V9+AJ9)),IF(J_V="SI",V9,V9+AJ9)," - ")</f>
        <v>8371</v>
      </c>
      <c r="BC9" s="125">
        <f>IF(ISNUMBER(X9),X9," - ")</f>
        <v>6197</v>
      </c>
      <c r="BD9" s="126">
        <f>IF(ISNUMBER(BA9/AZ9),BA9/AZ9," - ")</f>
        <v>1.0574399426317675</v>
      </c>
      <c r="BE9" s="127">
        <f>IF(ISNUMBER(BB9/BA9),BB9/BA9, " - ")</f>
        <v>0.56767937067679375</v>
      </c>
      <c r="BF9" s="127">
        <f>IF(ISNUMBER(BC9/BA9),BC9/BA9, " - ")</f>
        <v>0.42024955920249557</v>
      </c>
      <c r="BG9" s="195">
        <f>IF(ISNUMBER((AY9+AZ9)/BA9),(AY9+AZ9)/BA9," - ")</f>
        <v>1.5680184456801844</v>
      </c>
      <c r="BH9" s="153">
        <v>8</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185</v>
      </c>
      <c r="J10" s="180">
        <v>203</v>
      </c>
      <c r="K10" s="180">
        <v>221</v>
      </c>
      <c r="L10" s="180">
        <v>167</v>
      </c>
      <c r="M10" s="180">
        <v>75</v>
      </c>
      <c r="N10" s="180">
        <v>111</v>
      </c>
      <c r="O10" s="180">
        <v>61</v>
      </c>
      <c r="P10" s="180">
        <v>43</v>
      </c>
      <c r="Q10" s="180">
        <v>57</v>
      </c>
      <c r="R10" s="180">
        <v>116</v>
      </c>
      <c r="S10" s="180">
        <v>95</v>
      </c>
      <c r="T10" s="180">
        <v>241</v>
      </c>
      <c r="U10" s="180">
        <v>151</v>
      </c>
      <c r="V10" s="180">
        <v>185</v>
      </c>
      <c r="W10" s="180">
        <v>29</v>
      </c>
      <c r="X10" s="187">
        <v>24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95</v>
      </c>
      <c r="AZ10" s="129">
        <f t="shared" si="0"/>
        <v>241</v>
      </c>
      <c r="BA10" s="129">
        <f t="shared" si="0"/>
        <v>151</v>
      </c>
      <c r="BB10" s="129">
        <f t="shared" si="0"/>
        <v>185</v>
      </c>
      <c r="BC10" s="125">
        <f t="shared" si="0"/>
        <v>29</v>
      </c>
      <c r="BD10" s="126">
        <f>IF(ISNUMBER(BA10/AZ10),BA10/AZ10," - ")</f>
        <v>0.62655601659751037</v>
      </c>
      <c r="BE10" s="127">
        <f>IF(ISNUMBER(BB10/BA10),BB10/BA10, " - ")</f>
        <v>1.2251655629139073</v>
      </c>
      <c r="BF10" s="127">
        <f>IF(ISNUMBER(BC10/BA10),BC10/BA10, " - ")</f>
        <v>0.19205298013245034</v>
      </c>
      <c r="BG10" s="195">
        <f>IF(ISNUMBER((AY10+AZ10)/BA10),(AY10+AZ10)/BA10," - ")</f>
        <v>2.2251655629139071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711</v>
      </c>
      <c r="J11" s="182">
        <v>1699</v>
      </c>
      <c r="K11" s="182">
        <v>1858</v>
      </c>
      <c r="L11" s="182">
        <v>557</v>
      </c>
      <c r="M11" s="182">
        <v>639</v>
      </c>
      <c r="N11" s="182">
        <v>1190</v>
      </c>
      <c r="O11" s="180">
        <v>610</v>
      </c>
      <c r="P11" s="182">
        <v>363</v>
      </c>
      <c r="Q11" s="182">
        <v>239</v>
      </c>
      <c r="R11" s="182">
        <v>927</v>
      </c>
      <c r="S11" s="182">
        <v>1072</v>
      </c>
      <c r="T11" s="182">
        <v>1835</v>
      </c>
      <c r="U11" s="182">
        <v>2132</v>
      </c>
      <c r="V11" s="182">
        <v>711</v>
      </c>
      <c r="W11" s="182">
        <v>663</v>
      </c>
      <c r="X11" s="188">
        <v>1315</v>
      </c>
      <c r="Y11" s="190">
        <v>169</v>
      </c>
      <c r="Z11" s="180">
        <v>569</v>
      </c>
      <c r="AA11" s="180">
        <v>633</v>
      </c>
      <c r="AB11" s="180">
        <v>104</v>
      </c>
      <c r="AC11" s="182">
        <v>0</v>
      </c>
      <c r="AD11" s="182">
        <v>0</v>
      </c>
      <c r="AE11" s="182">
        <v>0</v>
      </c>
      <c r="AF11" s="188">
        <v>0</v>
      </c>
      <c r="AG11" s="201">
        <v>69</v>
      </c>
      <c r="AH11" s="182">
        <v>699</v>
      </c>
      <c r="AI11" s="182">
        <v>599</v>
      </c>
      <c r="AJ11" s="202">
        <v>169</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1141</v>
      </c>
      <c r="AZ11" s="127">
        <f t="shared" si="1"/>
        <v>2534</v>
      </c>
      <c r="BA11" s="127">
        <f t="shared" si="1"/>
        <v>2731</v>
      </c>
      <c r="BB11" s="127">
        <f t="shared" si="1"/>
        <v>880</v>
      </c>
      <c r="BC11" s="125">
        <f>IF(ISNUMBER(X11),X11," - ")</f>
        <v>1315</v>
      </c>
      <c r="BD11" s="126">
        <f t="shared" ref="BD11:BD12" si="2">IF(ISNUMBER(BA11/AZ11),BA11/AZ11," - ")</f>
        <v>1.0777426992896606</v>
      </c>
      <c r="BE11" s="127">
        <f t="shared" ref="BE11:BE12" si="3">IF(ISNUMBER(BB11/BA11),BB11/BA11, " - ")</f>
        <v>0.32222629073599413</v>
      </c>
      <c r="BF11" s="127">
        <f t="shared" ref="BF11:BF12" si="4">IF(ISNUMBER(BC11/BA11),BC11/BA11, " - ")</f>
        <v>0.48150860490662761</v>
      </c>
      <c r="BG11" s="195">
        <f t="shared" ref="BG11:BG12" si="5">IF(ISNUMBER((AY11+AZ11)/BA11),(AY11+AZ11)/BA11," - ")</f>
        <v>1.3456609300622482</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9169</v>
      </c>
      <c r="J13" s="183">
        <f t="shared" si="6"/>
        <v>15733</v>
      </c>
      <c r="K13" s="183">
        <f t="shared" si="6"/>
        <v>17571</v>
      </c>
      <c r="L13" s="183">
        <f t="shared" si="6"/>
        <v>7382</v>
      </c>
      <c r="M13" s="183">
        <f t="shared" si="6"/>
        <v>4487</v>
      </c>
      <c r="N13" s="183">
        <f t="shared" si="6"/>
        <v>8815</v>
      </c>
      <c r="O13" s="183">
        <f t="shared" si="6"/>
        <v>7862</v>
      </c>
      <c r="P13" s="183">
        <f t="shared" si="6"/>
        <v>7187</v>
      </c>
      <c r="Q13" s="183">
        <f t="shared" si="6"/>
        <v>6761</v>
      </c>
      <c r="R13" s="183">
        <f t="shared" si="6"/>
        <v>18638</v>
      </c>
      <c r="S13" s="183">
        <f t="shared" si="6"/>
        <v>10218</v>
      </c>
      <c r="T13" s="183">
        <f t="shared" si="6"/>
        <v>15587</v>
      </c>
      <c r="U13" s="183">
        <f t="shared" si="6"/>
        <v>16558</v>
      </c>
      <c r="V13" s="183">
        <f t="shared" si="6"/>
        <v>9169</v>
      </c>
      <c r="W13" s="183">
        <f t="shared" si="6"/>
        <v>4160</v>
      </c>
      <c r="X13" s="183">
        <f t="shared" si="6"/>
        <v>7536</v>
      </c>
      <c r="Y13" s="183">
        <f t="shared" si="6"/>
        <v>267</v>
      </c>
      <c r="Z13" s="183">
        <f t="shared" si="6"/>
        <v>1011</v>
      </c>
      <c r="AA13" s="183">
        <f t="shared" si="6"/>
        <v>1042</v>
      </c>
      <c r="AB13" s="183">
        <f t="shared" si="6"/>
        <v>239</v>
      </c>
      <c r="AC13" s="183">
        <f t="shared" si="6"/>
        <v>0</v>
      </c>
      <c r="AD13" s="183">
        <f t="shared" si="6"/>
        <v>0</v>
      </c>
      <c r="AE13" s="183">
        <f t="shared" si="6"/>
        <v>0</v>
      </c>
      <c r="AF13" s="183">
        <f>SUBTOTAL(9,AF9:AF12)</f>
        <v>0</v>
      </c>
      <c r="AG13" s="183">
        <f t="shared" ref="AG13:AT13" si="7">SUBTOTAL(9,AG8:AG12)</f>
        <v>195</v>
      </c>
      <c r="AH13" s="183">
        <f t="shared" si="7"/>
        <v>1133</v>
      </c>
      <c r="AI13" s="183">
        <f t="shared" si="7"/>
        <v>1070</v>
      </c>
      <c r="AJ13" s="183">
        <f t="shared" si="7"/>
        <v>267</v>
      </c>
      <c r="AK13" s="183">
        <f t="shared" si="7"/>
        <v>0</v>
      </c>
      <c r="AL13" s="183">
        <f t="shared" si="7"/>
        <v>0</v>
      </c>
      <c r="AM13" s="183">
        <f t="shared" si="7"/>
        <v>0</v>
      </c>
      <c r="AN13" s="183">
        <f t="shared" si="7"/>
        <v>0</v>
      </c>
      <c r="AO13" s="183">
        <f t="shared" si="7"/>
        <v>11</v>
      </c>
      <c r="AP13" s="183">
        <f t="shared" si="7"/>
        <v>11</v>
      </c>
      <c r="AQ13" s="183">
        <f t="shared" si="7"/>
        <v>11</v>
      </c>
      <c r="AR13" s="183">
        <f t="shared" si="7"/>
        <v>11</v>
      </c>
      <c r="AS13" s="183">
        <f t="shared" si="7"/>
        <v>0</v>
      </c>
      <c r="AT13" s="183">
        <f t="shared" si="7"/>
        <v>0</v>
      </c>
      <c r="AU13" s="203"/>
      <c r="AV13" s="132"/>
      <c r="AW13" s="203"/>
      <c r="AX13" s="132"/>
      <c r="AY13" s="183">
        <f>SUBTOTAL(9,AY8:AY12)</f>
        <v>10413</v>
      </c>
      <c r="AZ13" s="183">
        <f>SUBTOTAL(9,AZ8:AZ12)</f>
        <v>16720</v>
      </c>
      <c r="BA13" s="183">
        <f>SUBTOTAL(9,BA8:BA12)</f>
        <v>17628</v>
      </c>
      <c r="BB13" s="183">
        <f>SUBTOTAL(9,BB8:BB12)</f>
        <v>9436</v>
      </c>
      <c r="BC13" s="183">
        <f>SUBTOTAL(9,BC8:BC12)</f>
        <v>7541</v>
      </c>
      <c r="BD13" s="204">
        <f>IF(ISNUMBER(BA13/AZ13),BA13/AZ13," - ")</f>
        <v>1.0543062200956939</v>
      </c>
      <c r="BE13" s="205">
        <f>IF(ISNUMBER(BB13/BA13),BB13/BA13, " - ")</f>
        <v>0.53528477422282728</v>
      </c>
      <c r="BF13" s="205">
        <f>IF(ISNUMBER(BC13/BA13),BC13/BA13, " - ")</f>
        <v>0.42778534150215564</v>
      </c>
      <c r="BG13" s="206">
        <f>IF(ISNUMBER((AY13+AZ13)/BA13),(AY13+AZ13)/BA13," - ")</f>
        <v>1.5391990015883821</v>
      </c>
      <c r="BH13" s="139">
        <f>SUBTOTAL(9,BH8:BH12)</f>
        <v>11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7872</v>
      </c>
      <c r="J15" s="182">
        <v>15886</v>
      </c>
      <c r="K15" s="182">
        <v>16377</v>
      </c>
      <c r="L15" s="182">
        <v>7464</v>
      </c>
      <c r="M15" s="182">
        <v>1691</v>
      </c>
      <c r="N15" s="182">
        <v>10937</v>
      </c>
      <c r="O15" s="180">
        <v>271</v>
      </c>
      <c r="P15" s="182">
        <v>962</v>
      </c>
      <c r="Q15" s="182">
        <v>834</v>
      </c>
      <c r="R15" s="182">
        <v>601</v>
      </c>
      <c r="S15" s="182">
        <v>6834</v>
      </c>
      <c r="T15" s="182">
        <v>16809</v>
      </c>
      <c r="U15" s="182">
        <v>15833</v>
      </c>
      <c r="V15" s="182">
        <v>7872</v>
      </c>
      <c r="W15" s="182">
        <v>1935</v>
      </c>
      <c r="X15" s="188">
        <v>10604</v>
      </c>
      <c r="Y15" s="201">
        <v>0</v>
      </c>
      <c r="Z15" s="182">
        <v>0</v>
      </c>
      <c r="AA15" s="182">
        <v>0</v>
      </c>
      <c r="AB15" s="182">
        <v>0</v>
      </c>
      <c r="AC15" s="182">
        <v>1</v>
      </c>
      <c r="AD15" s="182">
        <v>521</v>
      </c>
      <c r="AE15" s="182">
        <v>522</v>
      </c>
      <c r="AF15" s="188">
        <v>0</v>
      </c>
      <c r="AG15" s="201">
        <v>0</v>
      </c>
      <c r="AH15" s="182">
        <v>0</v>
      </c>
      <c r="AI15" s="182">
        <v>0</v>
      </c>
      <c r="AJ15" s="202">
        <v>0</v>
      </c>
      <c r="AK15" s="181">
        <v>0</v>
      </c>
      <c r="AL15" s="182">
        <v>665</v>
      </c>
      <c r="AM15" s="182">
        <v>664</v>
      </c>
      <c r="AN15" s="188">
        <v>1</v>
      </c>
      <c r="AO15" s="258">
        <v>4</v>
      </c>
      <c r="AP15" s="154">
        <v>4</v>
      </c>
      <c r="AQ15" s="154">
        <v>4</v>
      </c>
      <c r="AR15" s="154">
        <v>4</v>
      </c>
      <c r="AS15" s="339" t="s">
        <v>522</v>
      </c>
      <c r="AT15" s="202" t="s">
        <v>326</v>
      </c>
      <c r="AU15" s="201"/>
      <c r="AV15" s="202"/>
      <c r="AW15" s="201"/>
      <c r="AX15" s="202"/>
      <c r="AY15" s="128">
        <f t="shared" ref="AY15:BB16" si="9">IF(ISNUMBER(IF(D_I="SI",S15,S15+AK15)),IF(D_I="SI",S15,S15+AK15)," - ")</f>
        <v>6834</v>
      </c>
      <c r="AZ15" s="129">
        <f t="shared" si="9"/>
        <v>16809</v>
      </c>
      <c r="BA15" s="129">
        <f t="shared" si="9"/>
        <v>15833</v>
      </c>
      <c r="BB15" s="129">
        <f t="shared" si="9"/>
        <v>7872</v>
      </c>
      <c r="BC15" s="125">
        <f>IF(ISNUMBER(W15),W15," - ")</f>
        <v>1935</v>
      </c>
      <c r="BD15" s="126">
        <f>IF(ISNUMBER(BA15/AZ15),BA15/AZ15," - ")</f>
        <v>0.94193586768992799</v>
      </c>
      <c r="BE15" s="127">
        <f>IF(ISNUMBER(BB15/BA15),BB15/BA15, " - ")</f>
        <v>0.49718941451398979</v>
      </c>
      <c r="BF15" s="127">
        <f>IF(ISNUMBER(BC15/BA15),BC15/BA15, " - ")</f>
        <v>0.12221309922314154</v>
      </c>
      <c r="BG15" s="195">
        <f t="shared" ref="BG15:BG16" si="10">IF(ISNUMBER((AY15+AZ15)/BA15),(AY15+AZ15)/BA15," - ")</f>
        <v>1.493273542600897</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382</v>
      </c>
      <c r="J17" s="182">
        <v>1152</v>
      </c>
      <c r="K17" s="182">
        <v>1054</v>
      </c>
      <c r="L17" s="182">
        <v>499</v>
      </c>
      <c r="M17" s="182">
        <v>77</v>
      </c>
      <c r="N17" s="182">
        <v>495</v>
      </c>
      <c r="O17" s="182">
        <v>0</v>
      </c>
      <c r="P17" s="182">
        <v>5</v>
      </c>
      <c r="Q17" s="182">
        <v>5</v>
      </c>
      <c r="R17" s="182">
        <v>9</v>
      </c>
      <c r="S17" s="182">
        <v>163</v>
      </c>
      <c r="T17" s="182">
        <v>1102</v>
      </c>
      <c r="U17" s="182">
        <v>887</v>
      </c>
      <c r="V17" s="182">
        <v>382</v>
      </c>
      <c r="W17" s="182">
        <v>77</v>
      </c>
      <c r="X17" s="188">
        <v>551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163</v>
      </c>
      <c r="AZ17" s="129">
        <f t="shared" si="14"/>
        <v>1102</v>
      </c>
      <c r="BA17" s="129">
        <f t="shared" si="14"/>
        <v>887</v>
      </c>
      <c r="BB17" s="129">
        <f t="shared" si="14"/>
        <v>382</v>
      </c>
      <c r="BC17" s="125">
        <f>IF(ISNUMBER(W17),W17," - ")</f>
        <v>77</v>
      </c>
      <c r="BD17" s="126">
        <f>IF(ISNUMBER(BA17/AZ17),BA17/AZ17," - ")</f>
        <v>0.8049001814882033</v>
      </c>
      <c r="BE17" s="127">
        <f>IF(ISNUMBER(BB17/BA17),BB17/BA17, " - ")</f>
        <v>0.43066516347237882</v>
      </c>
      <c r="BF17" s="127">
        <f>IF(ISNUMBER(BC17/BA17),BC17/BA17, " - ")</f>
        <v>8.6809470124013535E-2</v>
      </c>
      <c r="BG17" s="195">
        <f>IF(ISNUMBER((AY17+AZ17)/BA17),(AY17+AZ17)/BA17," - ")</f>
        <v>1.4261555806087938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8254</v>
      </c>
      <c r="J18" s="183">
        <f t="shared" si="15"/>
        <v>17038</v>
      </c>
      <c r="K18" s="183">
        <f t="shared" si="15"/>
        <v>17431</v>
      </c>
      <c r="L18" s="183">
        <f t="shared" si="15"/>
        <v>7963</v>
      </c>
      <c r="M18" s="183">
        <f t="shared" si="15"/>
        <v>1768</v>
      </c>
      <c r="N18" s="183">
        <f t="shared" si="15"/>
        <v>11432</v>
      </c>
      <c r="O18" s="183">
        <f t="shared" si="15"/>
        <v>271</v>
      </c>
      <c r="P18" s="183">
        <f t="shared" si="15"/>
        <v>967</v>
      </c>
      <c r="Q18" s="183">
        <f t="shared" si="15"/>
        <v>839</v>
      </c>
      <c r="R18" s="183">
        <f t="shared" si="15"/>
        <v>610</v>
      </c>
      <c r="S18" s="183">
        <f t="shared" si="15"/>
        <v>6997</v>
      </c>
      <c r="T18" s="183">
        <f t="shared" si="15"/>
        <v>17911</v>
      </c>
      <c r="U18" s="183">
        <f t="shared" si="15"/>
        <v>16720</v>
      </c>
      <c r="V18" s="183">
        <f t="shared" si="15"/>
        <v>8254</v>
      </c>
      <c r="W18" s="183">
        <f t="shared" si="15"/>
        <v>2012</v>
      </c>
      <c r="X18" s="183">
        <f t="shared" si="15"/>
        <v>11155</v>
      </c>
      <c r="Y18" s="183">
        <f t="shared" si="15"/>
        <v>0</v>
      </c>
      <c r="Z18" s="183">
        <f t="shared" si="15"/>
        <v>0</v>
      </c>
      <c r="AA18" s="183">
        <f t="shared" si="15"/>
        <v>0</v>
      </c>
      <c r="AB18" s="183">
        <f t="shared" si="15"/>
        <v>0</v>
      </c>
      <c r="AC18" s="183">
        <f t="shared" si="15"/>
        <v>1</v>
      </c>
      <c r="AD18" s="183">
        <f t="shared" si="15"/>
        <v>521</v>
      </c>
      <c r="AE18" s="183">
        <f t="shared" si="15"/>
        <v>522</v>
      </c>
      <c r="AF18" s="183">
        <f t="shared" si="15"/>
        <v>0</v>
      </c>
      <c r="AG18" s="183">
        <f t="shared" si="15"/>
        <v>0</v>
      </c>
      <c r="AH18" s="183">
        <f t="shared" si="15"/>
        <v>0</v>
      </c>
      <c r="AI18" s="183">
        <f t="shared" si="15"/>
        <v>0</v>
      </c>
      <c r="AJ18" s="183">
        <f t="shared" si="15"/>
        <v>0</v>
      </c>
      <c r="AK18" s="183">
        <f t="shared" si="15"/>
        <v>0</v>
      </c>
      <c r="AL18" s="183">
        <f t="shared" si="15"/>
        <v>665</v>
      </c>
      <c r="AM18" s="183">
        <f t="shared" si="15"/>
        <v>664</v>
      </c>
      <c r="AN18" s="183">
        <f t="shared" si="15"/>
        <v>1</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6997</v>
      </c>
      <c r="AZ18" s="183">
        <f>SUBTOTAL(9,AZ14:AZ17)</f>
        <v>17911</v>
      </c>
      <c r="BA18" s="183">
        <f>SUBTOTAL(9,BA14:BA17)</f>
        <v>16720</v>
      </c>
      <c r="BB18" s="183">
        <f>SUBTOTAL(9,BB14:BB17)</f>
        <v>8254</v>
      </c>
      <c r="BC18" s="183">
        <f>SUBTOTAL(9,BC14:BC17)</f>
        <v>2012</v>
      </c>
      <c r="BD18" s="204">
        <f>IF(ISNUMBER(BA18/AZ18),BA18/AZ18," - ")</f>
        <v>0.93350455027636647</v>
      </c>
      <c r="BE18" s="205">
        <f>IF(ISNUMBER(BB18/BA18),BB18/BA18, " - ")</f>
        <v>0.49366028708133969</v>
      </c>
      <c r="BF18" s="205">
        <f>IF(ISNUMBER(BC18/BA18),BC18/BA18, " - ")</f>
        <v>0.12033492822966507</v>
      </c>
      <c r="BG18" s="206">
        <f>IF(ISNUMBER((AY18+AZ18)/BA18),(AY18+AZ18)/BA18," - ")</f>
        <v>1.4897129186602871</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17423</v>
      </c>
      <c r="J19" s="134">
        <f t="shared" si="18"/>
        <v>32771</v>
      </c>
      <c r="K19" s="134">
        <f t="shared" si="18"/>
        <v>35002</v>
      </c>
      <c r="L19" s="134">
        <f t="shared" si="18"/>
        <v>15345</v>
      </c>
      <c r="M19" s="134">
        <f t="shared" si="18"/>
        <v>6255</v>
      </c>
      <c r="N19" s="134">
        <f t="shared" si="18"/>
        <v>20247</v>
      </c>
      <c r="O19" s="134">
        <f t="shared" si="18"/>
        <v>8133</v>
      </c>
      <c r="P19" s="134">
        <f t="shared" si="18"/>
        <v>8154</v>
      </c>
      <c r="Q19" s="134">
        <f t="shared" si="18"/>
        <v>7600</v>
      </c>
      <c r="R19" s="134">
        <f t="shared" si="18"/>
        <v>19248</v>
      </c>
      <c r="S19" s="134">
        <f t="shared" si="18"/>
        <v>17215</v>
      </c>
      <c r="T19" s="134">
        <f t="shared" si="18"/>
        <v>33498</v>
      </c>
      <c r="U19" s="134">
        <f t="shared" si="18"/>
        <v>33278</v>
      </c>
      <c r="V19" s="134">
        <f t="shared" si="18"/>
        <v>17423</v>
      </c>
      <c r="W19" s="134">
        <f t="shared" si="18"/>
        <v>6172</v>
      </c>
      <c r="X19" s="134">
        <f t="shared" si="18"/>
        <v>18691</v>
      </c>
      <c r="Y19" s="134">
        <f t="shared" si="18"/>
        <v>267</v>
      </c>
      <c r="Z19" s="134">
        <f t="shared" si="18"/>
        <v>1011</v>
      </c>
      <c r="AA19" s="134">
        <f t="shared" si="18"/>
        <v>1042</v>
      </c>
      <c r="AB19" s="134">
        <f t="shared" si="18"/>
        <v>239</v>
      </c>
      <c r="AC19" s="134">
        <f t="shared" si="18"/>
        <v>1</v>
      </c>
      <c r="AD19" s="134">
        <f t="shared" si="18"/>
        <v>521</v>
      </c>
      <c r="AE19" s="134">
        <f t="shared" si="18"/>
        <v>522</v>
      </c>
      <c r="AF19" s="134">
        <f t="shared" si="18"/>
        <v>0</v>
      </c>
      <c r="AG19" s="134">
        <f t="shared" si="18"/>
        <v>195</v>
      </c>
      <c r="AH19" s="134">
        <f t="shared" si="18"/>
        <v>1133</v>
      </c>
      <c r="AI19" s="134">
        <f t="shared" si="18"/>
        <v>1070</v>
      </c>
      <c r="AJ19" s="134">
        <f t="shared" si="18"/>
        <v>267</v>
      </c>
      <c r="AK19" s="134">
        <f t="shared" si="18"/>
        <v>0</v>
      </c>
      <c r="AL19" s="134">
        <f t="shared" si="18"/>
        <v>665</v>
      </c>
      <c r="AM19" s="134">
        <f t="shared" si="18"/>
        <v>664</v>
      </c>
      <c r="AN19" s="209">
        <f t="shared" si="18"/>
        <v>1</v>
      </c>
      <c r="AO19" s="210">
        <v>15</v>
      </c>
      <c r="AP19" s="210">
        <v>15</v>
      </c>
      <c r="AQ19" s="210">
        <v>15</v>
      </c>
      <c r="AR19" s="210">
        <v>15</v>
      </c>
      <c r="AS19" s="152">
        <f t="shared" si="18"/>
        <v>0</v>
      </c>
      <c r="AT19" s="152">
        <f t="shared" si="18"/>
        <v>0</v>
      </c>
      <c r="AU19" s="210"/>
      <c r="AV19" s="211"/>
      <c r="AW19" s="210"/>
      <c r="AX19" s="211"/>
      <c r="AY19" s="133">
        <f>SUBTOTAL(9,AY9:AY18)</f>
        <v>17410</v>
      </c>
      <c r="AZ19" s="134">
        <f>SUBTOTAL(9,AZ9:AZ18)</f>
        <v>34631</v>
      </c>
      <c r="BA19" s="134">
        <f>SUBTOTAL(9,BA9:BA18)</f>
        <v>34348</v>
      </c>
      <c r="BB19" s="134">
        <f>SUBTOTAL(9,BB9:BB18)</f>
        <v>17690</v>
      </c>
      <c r="BC19" s="135">
        <f>SUBTOTAL(9,BC9:BC18)</f>
        <v>9553</v>
      </c>
      <c r="BD19" s="212">
        <f>IF(ISNUMBER(BA19/AZ19),BA19/AZ19," - ")</f>
        <v>0.99182813086540955</v>
      </c>
      <c r="BE19" s="209">
        <f>IF(ISNUMBER(BB19/BA19),BB19/BA19, " - ")</f>
        <v>0.51502270874577849</v>
      </c>
      <c r="BF19" s="209">
        <f>IF(ISNUMBER(BC19/BA19),BC19/BA19, " - ")</f>
        <v>0.27812390823337602</v>
      </c>
      <c r="BG19" s="135">
        <f>IF(ISNUMBER((AY19+AZ19)/BA19),(AY19+AZ19)/BA19," - ")</f>
        <v>1.5151100500756958</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KassBR2g/wipPckj25xKdzPtCVx9hX3YTxF2BnAsBbyl/PkSBMZM4/TGzwDN1mi3X4dhHaXLVh0YInSJQuA5g==" saltValue="O0Xw+jy2+oPJoXjvRYo56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wreDccQUnI78FnpZt1Eiu1aaBZGv/gnxxxSvAJQ5GP3f5SGopJBi7SgJVg4UycRZ1VeEt1mRC5G1wXg2bLFw==" saltValue="PiWC/NuzQvwsYSJaFJgMG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GRANOLLERS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8</v>
      </c>
      <c r="B9" s="500" t="s">
        <v>246</v>
      </c>
      <c r="C9" s="159" t="str">
        <f>Datos!A9</f>
        <v xml:space="preserve">Jdos. 1ª Instancia   </v>
      </c>
      <c r="D9" s="501"/>
      <c r="E9" s="259">
        <f>IF(ISNUMBER(Datos!AQ9),Datos!AQ9," - ")</f>
        <v>8</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442</v>
      </c>
      <c r="O9" s="333"/>
      <c r="P9" s="333"/>
      <c r="Q9" s="225">
        <f>IF(ISNUMBER(Datos!P9),Datos!P9,0)</f>
        <v>6781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6465</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135</v>
      </c>
      <c r="AI9" s="333" t="str">
        <f>IF(ISNUMBER(Datos!CD9),Datos!CD9,"-")</f>
        <v>-</v>
      </c>
      <c r="AJ9" s="333" t="str">
        <f>IF(ISNUMBER(Datos!EN9),Datos!EN9," - ")</f>
        <v xml:space="preserve"> - </v>
      </c>
      <c r="AK9" s="333"/>
      <c r="AL9" s="478"/>
      <c r="AM9" s="334">
        <f>IF(ISNUMBER(Datos!R9),Datos!R9," - ")</f>
        <v>17595</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3773</v>
      </c>
      <c r="BD9" s="228">
        <f>IF(ISNUMBER(Datos!N9),Datos!N9," - ")</f>
        <v>7514</v>
      </c>
      <c r="BE9" s="228" t="str">
        <f>IF(ISNUMBER(Datos!BW9),Datos!BW9," - ")</f>
        <v xml:space="preserve"> - </v>
      </c>
      <c r="BF9" s="227" t="str">
        <f>IF(ISNUMBER(Datos!BX9),Datos!BX9," - ")</f>
        <v xml:space="preserve"> - </v>
      </c>
      <c r="BG9" s="242">
        <f>IF(ISNUMBER(IF(J_V="SI",Datos!K9/Datos!J9,(Datos!K9+Datos!AA9)/(Datos!J9+Datos!Z9))),IF(J_V="SI",Datos!K9/Datos!J9,(Datos!K9+Datos!AA9)/(Datos!J9+Datos!Z9))," - ")</f>
        <v>1.1140615147481259</v>
      </c>
      <c r="BH9" s="259">
        <f>IF(ISNUMBER(((IF(J_V="SI",Datos!L9/Datos!K9,(Datos!L9+Datos!AB9)/(Datos!K9+Datos!AA9)))*11)/factor_trimestre),((IF(J_V="SI",Datos!L9/Datos!K9,(Datos!L9+Datos!AB9)/(Datos!K9+Datos!AA9)))*11)/factor_trimestre," - ")</f>
        <v>4.6992641972203009</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1.828809537588981E-2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185</v>
      </c>
      <c r="G10" s="332">
        <f>IF(ISNUMBER(Datos!I10),Datos!I10," - ")</f>
        <v>185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221</v>
      </c>
      <c r="AC10" s="225">
        <f>IF(ISNUMBER(Datos!Q10),Datos!Q10," - ")</f>
        <v>57</v>
      </c>
      <c r="AD10" s="333"/>
      <c r="AE10" s="483"/>
      <c r="AF10" s="331">
        <f>IF(ISNUMBER(Datos!L10),Datos!L10,"-")</f>
        <v>167</v>
      </c>
      <c r="AG10" s="333"/>
      <c r="AH10" s="333"/>
      <c r="AI10" s="333"/>
      <c r="AJ10" s="333"/>
      <c r="AK10" s="333"/>
      <c r="AL10" s="478"/>
      <c r="AM10" s="334">
        <f>IF(ISNUMBER(Datos!R10),Datos!R10," - ")</f>
        <v>116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75</v>
      </c>
      <c r="BD10" s="228">
        <f>IF(ISNUMBER(Datos!N10),Datos!N10," - ")</f>
        <v>111</v>
      </c>
      <c r="BE10" s="228" t="str">
        <f>IF(ISNUMBER(Datos!BW10),Datos!BW10," - ")</f>
        <v xml:space="preserve"> - </v>
      </c>
      <c r="BF10" s="227" t="str">
        <f>IF(ISNUMBER(Datos!BX10),Datos!BX10," - ")</f>
        <v xml:space="preserve"> - </v>
      </c>
      <c r="BG10" s="242">
        <f>IF(ISNUMBER(Datos!K10/Datos!J10),Datos!K10/Datos!J10," - ")</f>
        <v>1.0886699507389161</v>
      </c>
      <c r="BH10" s="259">
        <f>IF(ISNUMBER(((Datos!L10/Datos!K10)*11)/factor_trimestre),((Datos!L10/Datos!K10)*11)/factor_trimestre," - ")</f>
        <v>8.3122171945701346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-0.1076923076923077</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569</v>
      </c>
      <c r="O11" s="333"/>
      <c r="P11" s="333"/>
      <c r="Q11" s="225">
        <f>IF(ISNUMBER(Datos!P11),Datos!P11,0)</f>
        <v>363</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239</v>
      </c>
      <c r="AD11" s="333"/>
      <c r="AE11" s="483"/>
      <c r="AF11" s="331" t="str">
        <f>IF(ISNUMBER(IF(J_V="SI",Datos!L11,Datos!L11+Datos!AB11)-IF(Monitorios="SI",Datos!CD11,0)),
                          IF(J_V="SI",Datos!L11,Datos!L11+Datos!AB11)-IF(Monitorios="SI",Datos!CD11,0),
                          " - ")</f>
        <v xml:space="preserve"> - </v>
      </c>
      <c r="AG11" s="333"/>
      <c r="AH11" s="333">
        <f>IF(ISNUMBER(Datos!AB11),Datos!AB11,"-")</f>
        <v>104</v>
      </c>
      <c r="AI11" s="333"/>
      <c r="AJ11" s="333"/>
      <c r="AK11" s="333"/>
      <c r="AL11" s="478"/>
      <c r="AM11" s="334">
        <f>IF(ISNUMBER(Datos!R11),Datos!R11," - ")</f>
        <v>927</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639</v>
      </c>
      <c r="BD11" s="228">
        <f>IF(ISNUMBER(Datos!N11),Datos!N11," - ")</f>
        <v>1190</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1.0983245149911816</v>
      </c>
      <c r="BH11" s="259">
        <f>IF(ISNUMBER(((IF(J_V="SI",Datos!L11/Datos!K11,(Datos!L11+Datos!AB11)/(Datos!K11+Datos!AA11)))*11)/factor_trimestre),((IF(J_V="SI",Datos!L11/Datos!K11,(Datos!L11+Datos!AB11)/(Datos!K11+Datos!AA11)))*11)/factor_trimestre," - ")</f>
        <v>2.9189080690485749</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0.15442092154420922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11</v>
      </c>
      <c r="F13" s="897">
        <f t="shared" si="0"/>
        <v>185</v>
      </c>
      <c r="G13" s="897">
        <f t="shared" si="0"/>
        <v>185</v>
      </c>
      <c r="H13" s="898">
        <f t="shared" si="0"/>
        <v>0</v>
      </c>
      <c r="I13" s="897">
        <f t="shared" si="0"/>
        <v>0</v>
      </c>
      <c r="J13" s="866">
        <f t="shared" si="0"/>
        <v>0</v>
      </c>
      <c r="K13" s="866">
        <f t="shared" si="0"/>
        <v>0</v>
      </c>
      <c r="L13" s="898">
        <f t="shared" si="0"/>
        <v>0</v>
      </c>
      <c r="M13" s="898">
        <f t="shared" si="0"/>
        <v>0</v>
      </c>
      <c r="N13" s="898">
        <f t="shared" si="0"/>
        <v>1011</v>
      </c>
      <c r="O13" s="899">
        <f t="shared" si="0"/>
        <v>0</v>
      </c>
      <c r="P13" s="899">
        <f t="shared" si="0"/>
        <v>0</v>
      </c>
      <c r="Q13" s="898">
        <f t="shared" si="0"/>
        <v>7187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221</v>
      </c>
      <c r="AC13" s="898">
        <f t="shared" si="1"/>
        <v>6761</v>
      </c>
      <c r="AD13" s="898">
        <f t="shared" si="1"/>
        <v>0</v>
      </c>
      <c r="AE13" s="898">
        <f t="shared" si="1"/>
        <v>0</v>
      </c>
      <c r="AF13" s="898">
        <f t="shared" si="1"/>
        <v>167</v>
      </c>
      <c r="AG13" s="898">
        <f t="shared" si="1"/>
        <v>0</v>
      </c>
      <c r="AH13" s="898">
        <f t="shared" si="1"/>
        <v>239</v>
      </c>
      <c r="AI13" s="898">
        <f t="shared" si="1"/>
        <v>0</v>
      </c>
      <c r="AJ13" s="898">
        <f t="shared" si="1"/>
        <v>0</v>
      </c>
      <c r="AK13" s="898">
        <f t="shared" si="1"/>
        <v>0</v>
      </c>
      <c r="AL13" s="898">
        <f t="shared" si="1"/>
        <v>0</v>
      </c>
      <c r="AM13" s="898">
        <f t="shared" si="1"/>
        <v>18638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4487</v>
      </c>
      <c r="BD13" s="898">
        <f t="shared" si="1"/>
        <v>8815</v>
      </c>
      <c r="BE13" s="898">
        <f t="shared" si="1"/>
        <v>0</v>
      </c>
      <c r="BF13" s="898">
        <f t="shared" si="1"/>
        <v>0</v>
      </c>
      <c r="BG13" s="898">
        <f>IF(ISNUMBER(Datos!K13/Datos!J13),Datos!K13/Datos!J13," - ")</f>
        <v>1.1168245089938347</v>
      </c>
      <c r="BH13" s="902">
        <f>IF(ISNUMBER(((Datos!L13/Datos!K13)*11)/factor_trimestre),((Datos!L13/Datos!K13)*11)/factor_trimestre," - ")</f>
        <v>4.6213647487337095</v>
      </c>
      <c r="BI13" s="898">
        <f>IF(ISNUMBER('Resol  Asuntos'!D13/NºAsuntos!G13),'Resol  Asuntos'!D13/NºAsuntos!G13," - ")</f>
        <v>0.24106807070327191</v>
      </c>
      <c r="BJ13" s="898" t="str">
        <f>IF(ISNUMBER(Datos!CI13/Datos!CJ13),Datos!CI13/Datos!CJ13," - ")</f>
        <v xml:space="preserve"> - </v>
      </c>
      <c r="BK13" s="898">
        <f>SUBTOTAL(9,BK8:BK12)</f>
        <v>0</v>
      </c>
      <c r="BL13" s="898">
        <f>IF(ISNUMBER((I13-AB13+L13)/(F13)),(I13-AB13+L13)/(F13)," - ")</f>
        <v>-1.1945945945945946</v>
      </c>
      <c r="BM13" s="903">
        <f>SUBTOTAL(9,BM9:BM12)</f>
        <v>6.5016709227791333E-2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7955</v>
      </c>
      <c r="G15" s="597">
        <f>IF(ISNUMBER(IF(D_I="SI",Datos!I15,Datos!I15+Datos!AC15)),IF(D_I="SI",Datos!I15,Datos!I15+Datos!AC15)," - ")</f>
        <v>7872</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962</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16377</v>
      </c>
      <c r="AC15" s="225">
        <f>IF(ISNUMBER(Datos!Q15),Datos!Q15," - ")</f>
        <v>834</v>
      </c>
      <c r="AD15" s="333"/>
      <c r="AE15" s="483"/>
      <c r="AF15" s="595">
        <f>IF(ISNUMBER(IF(D_I="SI",Datos!L15,Datos!L15+Datos!AF15)),IF(D_I="SI",Datos!L15,Datos!L15+Datos!AF15)," - ")</f>
        <v>7464</v>
      </c>
      <c r="AG15" s="333"/>
      <c r="AH15" s="333"/>
      <c r="AI15" s="333"/>
      <c r="AJ15" s="333"/>
      <c r="AK15" s="333"/>
      <c r="AL15" s="478"/>
      <c r="AM15" s="334">
        <f>IF(ISNUMBER(Datos!R15),Datos!R15," - ")</f>
        <v>601</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1691</v>
      </c>
      <c r="BD15" s="228">
        <f>IF(ISNUMBER(Datos!N15),Datos!N15," - ")</f>
        <v>10937</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1.0309077174870955</v>
      </c>
      <c r="BH15" s="259">
        <f>IF(ISNUMBER(((IF(D_I="SI",Datos!L15/Datos!K15,(Datos!L15+Datos!AF15)/(Datos!K15+Datos!AE15)))*11)/factor_trimestre),((IF(D_I="SI",Datos!L15/Datos!K15,(Datos!L15+Datos!AF15)/(Datos!K15+Datos!AE15)))*11)/factor_trimestre," - ")</f>
        <v>5.0133724125297672</v>
      </c>
      <c r="BI15" s="242">
        <f>IF(ISNUMBER('Resol  Asuntos'!D15/NºAsuntos!G15),'Resol  Asuntos'!D15/NºAsuntos!G15," - ")</f>
        <v>0.10325456432802101</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382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1054</v>
      </c>
      <c r="AC17" s="225">
        <f>IF(ISNUMBER(Datos!Q17),Datos!Q17," - ")</f>
        <v>5</v>
      </c>
      <c r="AD17" s="333"/>
      <c r="AE17" s="483"/>
      <c r="AF17" s="331">
        <f>IF(ISNUMBER(Datos!L17),Datos!L17,"-")</f>
        <v>499</v>
      </c>
      <c r="AG17" s="333"/>
      <c r="AH17" s="333"/>
      <c r="AI17" s="333"/>
      <c r="AJ17" s="333"/>
      <c r="AK17" s="333"/>
      <c r="AL17" s="478"/>
      <c r="AM17" s="334">
        <f>IF(ISNUMBER(Datos!R17),Datos!R17," - ")</f>
        <v>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77</v>
      </c>
      <c r="BD17" s="228">
        <f>IF(ISNUMBER(Datos!N17),Datos!N17," - ")</f>
        <v>495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0.91493055555555558</v>
      </c>
      <c r="BH17" s="259">
        <f>IF(ISNUMBER(((IF(D_I="SI",Datos!L17/Datos!K17,(Datos!L17+Datos!AF17)/(Datos!K17+Datos!AE17)))*11)/factor_trimestre),((IF(D_I="SI",Datos!L17/Datos!K17,(Datos!L17+Datos!AF17)/(Datos!K17+Datos!AE17)))*11)/factor_trimestre," - ")</f>
        <v>5.2077798861480078</v>
      </c>
      <c r="BI17" s="242">
        <f>IF(ISNUMBER('Resol  Asuntos'!D17/NºAsuntos!G17),'Resol  Asuntos'!D17/NºAsuntos!G17," - ")</f>
        <v>7.3055028462998106E-2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7955</v>
      </c>
      <c r="G18" s="897">
        <f>SUBTOTAL(9,G15:G17)</f>
        <v>8254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967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17431</v>
      </c>
      <c r="AC18" s="898">
        <f t="shared" si="4"/>
        <v>839</v>
      </c>
      <c r="AD18" s="898">
        <f t="shared" si="4"/>
        <v>0</v>
      </c>
      <c r="AE18" s="898">
        <f t="shared" si="4"/>
        <v>0</v>
      </c>
      <c r="AF18" s="898">
        <f t="shared" si="4"/>
        <v>7963</v>
      </c>
      <c r="AG18" s="898">
        <f t="shared" si="4"/>
        <v>0</v>
      </c>
      <c r="AH18" s="898">
        <f t="shared" si="4"/>
        <v>0</v>
      </c>
      <c r="AI18" s="898">
        <f t="shared" si="4"/>
        <v>0</v>
      </c>
      <c r="AJ18" s="898">
        <f t="shared" si="4"/>
        <v>0</v>
      </c>
      <c r="AK18" s="898">
        <f t="shared" si="4"/>
        <v>0</v>
      </c>
      <c r="AL18" s="898">
        <f t="shared" si="4"/>
        <v>0</v>
      </c>
      <c r="AM18" s="898">
        <f t="shared" si="4"/>
        <v>610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1768</v>
      </c>
      <c r="BD18" s="898">
        <f t="shared" si="4"/>
        <v>11432</v>
      </c>
      <c r="BE18" s="898">
        <f t="shared" si="4"/>
        <v>0</v>
      </c>
      <c r="BF18" s="898">
        <f t="shared" si="4"/>
        <v>0</v>
      </c>
      <c r="BG18" s="898">
        <f>IF(ISNUMBER(Datos!K18/Datos!J18),Datos!K18/Datos!J18," - ")</f>
        <v>1.0230660875689634</v>
      </c>
      <c r="BH18" s="902">
        <f>IF(ISNUMBER(((Datos!L18/Datos!K18)*11)/factor_trimestre),((Datos!L18/Datos!K18)*11)/factor_trimestre," - ")</f>
        <v>5.0251276461476673</v>
      </c>
      <c r="BI18" s="898">
        <f>SUBTOTAL(9,BI15:BI17)</f>
        <v>0.1763095927910191</v>
      </c>
      <c r="BJ18" s="898">
        <f>SUBTOTAL(9,BJ15:BJ17)</f>
        <v>0</v>
      </c>
      <c r="BK18" s="898">
        <f>SUBTOTAL(9,BK15:BK17)</f>
        <v>0</v>
      </c>
      <c r="BL18" s="898">
        <f>IF(ISNUMBER((I18-AB18+L18)/(F18)),(I18-AB18+L18)/(F18)," - ")</f>
        <v>-2.1912005028284098</v>
      </c>
      <c r="BM18" s="904">
        <f>IF(ISNUMBER((Datos!P18-Datos!Q18)/(Datos!R18-Datos!P18+Datos!Q18)),(Datos!P18-Datos!Q18)/(Datos!R18-Datos!P18+Datos!Q18)," - ")</f>
        <v>0.26556016597510373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16</v>
      </c>
      <c r="F19" s="819">
        <f t="shared" si="6"/>
        <v>8140</v>
      </c>
      <c r="G19" s="819">
        <f t="shared" si="6"/>
        <v>8439</v>
      </c>
      <c r="H19" s="821">
        <f t="shared" si="6"/>
        <v>0</v>
      </c>
      <c r="I19" s="819">
        <f t="shared" si="6"/>
        <v>0</v>
      </c>
      <c r="J19" s="821">
        <f t="shared" si="6"/>
        <v>0</v>
      </c>
      <c r="K19" s="821">
        <f t="shared" si="6"/>
        <v>0</v>
      </c>
      <c r="L19" s="880">
        <f t="shared" si="6"/>
        <v>0</v>
      </c>
      <c r="M19" s="880">
        <f t="shared" si="6"/>
        <v>0</v>
      </c>
      <c r="N19" s="880">
        <f t="shared" si="6"/>
        <v>1011</v>
      </c>
      <c r="O19" s="880">
        <f t="shared" si="6"/>
        <v>0</v>
      </c>
      <c r="P19" s="880">
        <f t="shared" si="6"/>
        <v>0</v>
      </c>
      <c r="Q19" s="821">
        <f t="shared" si="6"/>
        <v>8154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17652</v>
      </c>
      <c r="AC19" s="820">
        <f t="shared" si="7"/>
        <v>7600</v>
      </c>
      <c r="AD19" s="820">
        <f t="shared" si="7"/>
        <v>0</v>
      </c>
      <c r="AE19" s="820">
        <f t="shared" si="7"/>
        <v>0</v>
      </c>
      <c r="AF19" s="827">
        <f t="shared" si="7"/>
        <v>8130</v>
      </c>
      <c r="AG19" s="827">
        <f t="shared" si="7"/>
        <v>0</v>
      </c>
      <c r="AH19" s="827">
        <f t="shared" si="7"/>
        <v>239</v>
      </c>
      <c r="AI19" s="827">
        <f t="shared" si="7"/>
        <v>0</v>
      </c>
      <c r="AJ19" s="820">
        <f t="shared" si="7"/>
        <v>0</v>
      </c>
      <c r="AK19" s="827">
        <f t="shared" si="7"/>
        <v>0</v>
      </c>
      <c r="AL19" s="827">
        <f t="shared" si="7"/>
        <v>0</v>
      </c>
      <c r="AM19" s="827">
        <f t="shared" si="7"/>
        <v>19248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6255</v>
      </c>
      <c r="BD19" s="819">
        <f t="shared" si="7"/>
        <v>20247</v>
      </c>
      <c r="BE19" s="819">
        <f t="shared" si="7"/>
        <v>0</v>
      </c>
      <c r="BF19" s="829">
        <f t="shared" si="7"/>
        <v>0</v>
      </c>
      <c r="BG19" s="914">
        <f>IF(ISNUMBER(Datos!K19/Datos!J19),Datos!K19/Datos!J19," - ")</f>
        <v>1.0680784840255104</v>
      </c>
      <c r="BH19" s="914">
        <f>IF(ISNUMBER(((Datos!L19/Datos!K19)*11)/factor_trimestre),((Datos!L19/Datos!K19)*11)/factor_trimestre," - ")</f>
        <v>4.8224387177875556</v>
      </c>
      <c r="BI19" s="812">
        <f>IF(ISNUMBER(Datos!J19/Datos!I19),Datos!J19/Datos!I19," - ")</f>
        <v>1.8809045514549734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-2.1685503685503686</v>
      </c>
      <c r="BM19" s="888">
        <f>IF(ISNUMBER((Datos!P19-Datos!Q19+R19)/(Datos!R19-Datos!P19+Datos!Q19-R19)),(Datos!P19-Datos!Q19+R19)/(Datos!R19-Datos!P19+Datos!Q19-R19)," - ")</f>
        <v>2.9635177062158981E-2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3375.6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3.844187531556932</v>
      </c>
      <c r="F21" s="550">
        <f>IF(ISNUMBER(STDEV(F8:F18)),STDEV(F8:F18),"-")</f>
        <v>4486.0115916033919</v>
      </c>
      <c r="G21" s="551">
        <f>IF(ISNUMBER(STDEV(G8:G18)),STDEV(G8:G18),"-")</f>
        <v>4281.8774270172662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8999.7222846041204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1751.9855810452541</v>
      </c>
      <c r="BD21" s="550"/>
      <c r="BE21" s="550">
        <f>IF(ISNUMBER(STDEV(BE8:BE18)),STDEV(BE8:BE18),"-")</f>
        <v>0</v>
      </c>
      <c r="BF21" s="555">
        <f>IF(ISNUMBER(STDEV(BF8:BF18)),STDEV(BF8:BF18),"-")</f>
        <v>0</v>
      </c>
      <c r="BG21" s="774">
        <f>IF(ISNUMBER(STDEV(BG8:BG18)),STDEV(BG8:BG18),"-")</f>
        <v>7.2503354665971742E-2</v>
      </c>
      <c r="BH21" s="775">
        <f>IF(ISNUMBER(STDEV(BH8:BH18)),STDEV(BH8:BH18),"-")</f>
        <v>1.6066806340707658</v>
      </c>
      <c r="BI21" s="248">
        <f>IF(ISNUMBER(STDEV(BI8:BI18)),STDEV(BI8:BI18),"-")</f>
        <v>7.5457029476244955E-2</v>
      </c>
      <c r="BJ21" s="229" t="str">
        <f>IF(ISNUMBER(BL21/BM21),BL21/BM21," - ")</f>
        <v xml:space="preserve"> - </v>
      </c>
      <c r="BK21" s="574"/>
      <c r="BL21" s="558">
        <f>IF(ISNUMBER(STDEV(BL8:BL18)),STDEV(BL8:BL18),"-")</f>
        <v>0.70470679588270879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BviH0fzYrgLBFfgNWto2ifB+Z4NAEuCLxSMRWTCuXKTOOWlBiaHXq6y/snefTqhJyOq8dP6TZFY5I8FHX44Njw==" saltValue="UwMMZb56wVufnfE38AsGz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GRANOLLERS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8</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6781</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6465</v>
      </c>
      <c r="AA9" s="331" t="str">
        <f>IF(ISNUMBER(IF(J_V="SI",Datos!L9,Datos!L9+Datos!AB9)-IF(Monitorios="SI",Datos!CD9,0)),
                          IF(J_V="SI",Datos!L9,Datos!L9+Datos!AB9)-IF(Monitorios="SI",Datos!CD9,0),
                          " - ")</f>
        <v xml:space="preserve"> - </v>
      </c>
      <c r="AB9" s="333"/>
      <c r="AC9" s="333"/>
      <c r="AD9" s="483"/>
      <c r="AE9" s="483">
        <f>IF(ISNUMBER(Datos!R9),Datos!R9," - ")</f>
        <v>17595</v>
      </c>
      <c r="AF9" s="228" t="str">
        <f>IF(ISNUMBER(Datos!BV9),Datos!BV9," - ")</f>
        <v xml:space="preserve"> - </v>
      </c>
      <c r="AG9" s="224" t="str">
        <f>IF(ISNUMBER(Datos!DV9),Datos!DV9," - ")</f>
        <v xml:space="preserve"> - </v>
      </c>
      <c r="AH9" s="297"/>
      <c r="AI9" s="226"/>
      <c r="AJ9" s="224">
        <f>IF(ISNUMBER(Datos!M9),Datos!M9," - ")</f>
        <v>3773</v>
      </c>
      <c r="AK9" s="228">
        <f>IF(ISNUMBER(Datos!N9),Datos!N9," - ")</f>
        <v>7514</v>
      </c>
      <c r="AL9" s="228" t="str">
        <f>IF(ISNUMBER(Datos!BW9),Datos!BW9," - ")</f>
        <v xml:space="preserve"> - </v>
      </c>
      <c r="AM9" s="227" t="str">
        <f>IF(ISNUMBER(Datos!BX9),Datos!BX9," - ")</f>
        <v xml:space="preserve"> - </v>
      </c>
      <c r="AN9" s="242"/>
      <c r="AO9" s="259">
        <f>IF(ISNUMBER(((NºAsuntos!I9/NºAsuntos!G9)*11)/factor_trimestre),((NºAsuntos!I9/NºAsuntos!G9)*11)/factor_trimestre," - ")</f>
        <v>4.6992641972203009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1.828809537588981E-2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185</v>
      </c>
      <c r="G10" s="224">
        <f>IF(ISNUMBER(Datos!I10),Datos!I10," - ")</f>
        <v>185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221</v>
      </c>
      <c r="Z10" s="618">
        <f>IF(ISNUMBER(Datos!Q10),Datos!Q10," - ")</f>
        <v>57</v>
      </c>
      <c r="AA10" s="331">
        <f>IF(ISNUMBER(Datos!L10),Datos!L10,"-")</f>
        <v>167</v>
      </c>
      <c r="AB10" s="333"/>
      <c r="AC10" s="333"/>
      <c r="AD10" s="483"/>
      <c r="AE10" s="483">
        <f>IF(ISNUMBER(Datos!R10),Datos!R10," - ")</f>
        <v>116</v>
      </c>
      <c r="AF10" s="228" t="str">
        <f>IF(ISNUMBER(Datos!BV10),Datos!BV10," - ")</f>
        <v xml:space="preserve"> - </v>
      </c>
      <c r="AG10" s="224" t="str">
        <f>IF(ISNUMBER(Datos!DV10),Datos!DV10," - ")</f>
        <v xml:space="preserve"> - </v>
      </c>
      <c r="AH10" s="297"/>
      <c r="AI10" s="226"/>
      <c r="AJ10" s="224">
        <f>IF(ISNUMBER(Datos!M10),Datos!M10," - ")</f>
        <v>75</v>
      </c>
      <c r="AK10" s="228">
        <f>IF(ISNUMBER(Datos!N10),Datos!N10," - ")</f>
        <v>111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8.3122171945701346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-0.1076923076923077</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363</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239</v>
      </c>
      <c r="AA11" s="331" t="str">
        <f>IF(ISNUMBER(IF(J_V="SI",Datos!L11,Datos!L11+Datos!AB11)-IF(Monitorios="SI",Datos!CD11,0)),
                          IF(J_V="SI",Datos!L11,Datos!L11+Datos!AB11)-IF(Monitorios="SI",Datos!CD11,0),
                          " - ")</f>
        <v xml:space="preserve"> - </v>
      </c>
      <c r="AB11" s="333"/>
      <c r="AC11" s="333"/>
      <c r="AD11" s="483"/>
      <c r="AE11" s="483">
        <f>IF(ISNUMBER(Datos!R11),Datos!R11," - ")</f>
        <v>927</v>
      </c>
      <c r="AF11" s="228" t="str">
        <f>IF(ISNUMBER(Datos!BV11),Datos!BV11," - ")</f>
        <v xml:space="preserve"> - </v>
      </c>
      <c r="AG11" s="224" t="str">
        <f>IF(ISNUMBER(Datos!DV11),Datos!DV11," - ")</f>
        <v xml:space="preserve"> - </v>
      </c>
      <c r="AH11" s="297"/>
      <c r="AI11" s="226"/>
      <c r="AJ11" s="224">
        <f>IF(ISNUMBER(Datos!M11),Datos!M11," - ")</f>
        <v>639</v>
      </c>
      <c r="AK11" s="228">
        <f>IF(ISNUMBER(Datos!N11),Datos!N11," - ")</f>
        <v>1190</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2.9189080690485749</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0.15442092154420922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11</v>
      </c>
      <c r="F13" s="897">
        <f>SUBTOTAL(9,F8:F12)</f>
        <v>185</v>
      </c>
      <c r="G13" s="897">
        <f>SUBTOTAL(9,G8:G12)</f>
        <v>185</v>
      </c>
      <c r="H13" s="907"/>
      <c r="I13" s="897">
        <f t="shared" ref="I13:N13" si="0">SUBTOTAL(9,I8:I12)</f>
        <v>0</v>
      </c>
      <c r="J13" s="866">
        <f t="shared" si="0"/>
        <v>0</v>
      </c>
      <c r="K13" s="907">
        <f t="shared" si="0"/>
        <v>0</v>
      </c>
      <c r="L13" s="907">
        <f t="shared" si="0"/>
        <v>0</v>
      </c>
      <c r="M13" s="907">
        <f t="shared" si="0"/>
        <v>0</v>
      </c>
      <c r="N13" s="907">
        <f t="shared" si="0"/>
        <v>7187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221</v>
      </c>
      <c r="Z13" s="906">
        <f t="shared" si="2"/>
        <v>6761</v>
      </c>
      <c r="AA13" s="899">
        <f t="shared" si="2"/>
        <v>167</v>
      </c>
      <c r="AB13" s="899">
        <f t="shared" si="2"/>
        <v>0</v>
      </c>
      <c r="AC13" s="899">
        <f t="shared" si="2"/>
        <v>0</v>
      </c>
      <c r="AD13" s="899">
        <f t="shared" si="2"/>
        <v>0</v>
      </c>
      <c r="AE13" s="899">
        <f t="shared" si="2"/>
        <v>18638</v>
      </c>
      <c r="AF13" s="907">
        <f t="shared" si="2"/>
        <v>0</v>
      </c>
      <c r="AG13" s="907">
        <f t="shared" si="2"/>
        <v>0</v>
      </c>
      <c r="AH13" s="907">
        <f t="shared" si="2"/>
        <v>0</v>
      </c>
      <c r="AI13" s="907">
        <f t="shared" si="2"/>
        <v>0</v>
      </c>
      <c r="AJ13" s="907">
        <f t="shared" si="2"/>
        <v>4487</v>
      </c>
      <c r="AK13" s="907">
        <f t="shared" si="2"/>
        <v>8815</v>
      </c>
      <c r="AL13" s="907">
        <f t="shared" si="2"/>
        <v>0</v>
      </c>
      <c r="AM13" s="907">
        <f t="shared" si="2"/>
        <v>0</v>
      </c>
      <c r="AN13" s="907">
        <f t="shared" si="2"/>
        <v>0</v>
      </c>
      <c r="AO13" s="903">
        <f>IF(ISNUMBER(((NºAsuntos!I13/NºAsuntos!G13)*11)/factor_trimestre),((NºAsuntos!I13/NºAsuntos!G13)*11)/factor_trimestre," - ")</f>
        <v>4.5038951270617309</v>
      </c>
      <c r="AP13" s="909" t="str">
        <f>IF(ISNUMBER(Datos!CI13/Datos!CJ13),Datos!CI13/Datos!CJ13," - ")</f>
        <v xml:space="preserve"> - </v>
      </c>
      <c r="AQ13" s="927">
        <f t="shared" ref="AQ13:AV13" si="3">SUBTOTAL(9,AQ9:AQ12)</f>
        <v>0</v>
      </c>
      <c r="AR13" s="927">
        <f t="shared" si="3"/>
        <v>6.5016709227791333E-2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7955</v>
      </c>
      <c r="G15" s="224">
        <f>IF(ISNUMBER(IF(D_I="SI",Datos!I15,Datos!I15+Datos!AC15)),IF(D_I="SI",Datos!I15,Datos!I15+Datos!AC15)," - ")</f>
        <v>7872</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962</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16377</v>
      </c>
      <c r="Z15" s="618">
        <f>IF(ISNUMBER(Datos!Q15),Datos!Q15," - ")</f>
        <v>834</v>
      </c>
      <c r="AA15" s="331">
        <f>IF(ISNUMBER(IF(D_I="SI",Datos!L15,Datos!L15+Datos!AF15)),IF(D_I="SI",Datos!L15,Datos!L15+Datos!AF15)," - ")</f>
        <v>7464</v>
      </c>
      <c r="AB15" s="333"/>
      <c r="AC15" s="333"/>
      <c r="AD15" s="483"/>
      <c r="AE15" s="483">
        <f>IF(ISNUMBER(Datos!R15),Datos!R15," - ")</f>
        <v>601</v>
      </c>
      <c r="AF15" s="228" t="str">
        <f>IF(ISNUMBER(Datos!BV15),Datos!BV15," - ")</f>
        <v xml:space="preserve"> - </v>
      </c>
      <c r="AG15" s="224"/>
      <c r="AH15" s="297"/>
      <c r="AI15" s="226"/>
      <c r="AJ15" s="224">
        <f>IF(ISNUMBER(Datos!M15),Datos!M15," - ")</f>
        <v>1691</v>
      </c>
      <c r="AK15" s="228">
        <f>IF(ISNUMBER(Datos!N15),Datos!N15," - ")</f>
        <v>10937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5.0133724125297672</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382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1054</v>
      </c>
      <c r="Z17" s="618">
        <f>IF(ISNUMBER(Datos!Q17),Datos!Q17," - ")</f>
        <v>5</v>
      </c>
      <c r="AA17" s="331">
        <f>IF(ISNUMBER(Datos!L17),Datos!L17,"-")</f>
        <v>499</v>
      </c>
      <c r="AB17" s="333"/>
      <c r="AC17" s="333"/>
      <c r="AD17" s="483"/>
      <c r="AE17" s="483">
        <f>IF(ISNUMBER(Datos!R17),Datos!R17," - ")</f>
        <v>9</v>
      </c>
      <c r="AF17" s="228" t="str">
        <f>IF(ISNUMBER(Datos!BV17),Datos!BV17," - ")</f>
        <v xml:space="preserve"> - </v>
      </c>
      <c r="AG17" s="224" t="str">
        <f>IF(ISNUMBER(Datos!DV17),Datos!DV17," - ")</f>
        <v xml:space="preserve"> - </v>
      </c>
      <c r="AH17" s="297"/>
      <c r="AI17" s="226"/>
      <c r="AJ17" s="224">
        <f>IF(ISNUMBER(Datos!M17),Datos!M17," - ")</f>
        <v>77</v>
      </c>
      <c r="AK17" s="228">
        <f>IF(ISNUMBER(Datos!N17),Datos!N17," - ")</f>
        <v>495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5.2077798861480078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7955</v>
      </c>
      <c r="G18" s="897">
        <f>SUBTOTAL(9,G15:G17)</f>
        <v>8254</v>
      </c>
      <c r="H18" s="931">
        <f>SUBTOTAL(9,H15:H17)</f>
        <v>0</v>
      </c>
      <c r="I18" s="910">
        <f>SUBTOTAL(9,I15:I17)</f>
        <v>0</v>
      </c>
      <c r="J18" s="866">
        <f>SUBTOTAL(9,J14:J17)</f>
        <v>0</v>
      </c>
      <c r="K18" s="931">
        <f t="shared" ref="K18:S18" si="4">SUBTOTAL(9,K15:K17)</f>
        <v>0</v>
      </c>
      <c r="L18" s="931">
        <f t="shared" si="4"/>
        <v>0</v>
      </c>
      <c r="M18" s="931">
        <f t="shared" si="4"/>
        <v>0</v>
      </c>
      <c r="N18" s="931">
        <f t="shared" si="4"/>
        <v>967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17431</v>
      </c>
      <c r="Z18" s="931">
        <f t="shared" si="5"/>
        <v>839</v>
      </c>
      <c r="AA18" s="931">
        <f t="shared" si="5"/>
        <v>7963</v>
      </c>
      <c r="AB18" s="931">
        <f t="shared" si="5"/>
        <v>0</v>
      </c>
      <c r="AC18" s="931">
        <f t="shared" si="5"/>
        <v>0</v>
      </c>
      <c r="AD18" s="931">
        <f t="shared" si="5"/>
        <v>0</v>
      </c>
      <c r="AE18" s="931">
        <f t="shared" si="5"/>
        <v>610</v>
      </c>
      <c r="AF18" s="931">
        <f t="shared" si="5"/>
        <v>0</v>
      </c>
      <c r="AG18" s="931">
        <f t="shared" si="5"/>
        <v>0</v>
      </c>
      <c r="AH18" s="931">
        <f t="shared" si="5"/>
        <v>0</v>
      </c>
      <c r="AI18" s="931">
        <f t="shared" si="5"/>
        <v>0</v>
      </c>
      <c r="AJ18" s="931">
        <f t="shared" si="5"/>
        <v>1768</v>
      </c>
      <c r="AK18" s="931">
        <f t="shared" si="5"/>
        <v>11432</v>
      </c>
      <c r="AL18" s="931">
        <f t="shared" si="5"/>
        <v>0</v>
      </c>
      <c r="AM18" s="931">
        <f t="shared" si="5"/>
        <v>0</v>
      </c>
      <c r="AN18" s="931">
        <f t="shared" si="5"/>
        <v>0</v>
      </c>
      <c r="AO18" s="933">
        <f>IF(ISNUMBER(((NºAsuntos!I18/NºAsuntos!G18)*11)/factor_trimestre),((NºAsuntos!I18/NºAsuntos!G18)*11)/factor_trimestre," - ")</f>
        <v>5.0251276461476673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8140</v>
      </c>
      <c r="G19" s="819">
        <f t="shared" si="7"/>
        <v>8439</v>
      </c>
      <c r="H19" s="820">
        <f t="shared" si="7"/>
        <v>0</v>
      </c>
      <c r="I19" s="819">
        <f t="shared" si="7"/>
        <v>0</v>
      </c>
      <c r="J19" s="821">
        <f t="shared" si="7"/>
        <v>0</v>
      </c>
      <c r="K19" s="819">
        <f t="shared" si="7"/>
        <v>0</v>
      </c>
      <c r="L19" s="822">
        <f t="shared" si="7"/>
        <v>0</v>
      </c>
      <c r="M19" s="819">
        <f t="shared" si="7"/>
        <v>0</v>
      </c>
      <c r="N19" s="820">
        <f t="shared" si="7"/>
        <v>8154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17652</v>
      </c>
      <c r="Z19" s="826">
        <f t="shared" si="8"/>
        <v>7600</v>
      </c>
      <c r="AA19" s="827">
        <f t="shared" si="8"/>
        <v>8130</v>
      </c>
      <c r="AB19" s="827">
        <f t="shared" si="8"/>
        <v>0</v>
      </c>
      <c r="AC19" s="827">
        <f t="shared" si="8"/>
        <v>0</v>
      </c>
      <c r="AD19" s="828">
        <f t="shared" si="8"/>
        <v>0</v>
      </c>
      <c r="AE19" s="828">
        <f t="shared" si="8"/>
        <v>19248</v>
      </c>
      <c r="AF19" s="829">
        <f t="shared" si="8"/>
        <v>0</v>
      </c>
      <c r="AG19" s="830">
        <f t="shared" si="8"/>
        <v>0</v>
      </c>
      <c r="AH19" s="831">
        <f t="shared" si="8"/>
        <v>0</v>
      </c>
      <c r="AI19" s="829">
        <f t="shared" si="8"/>
        <v>0</v>
      </c>
      <c r="AJ19" s="819">
        <f t="shared" si="8"/>
        <v>6255</v>
      </c>
      <c r="AK19" s="819">
        <f t="shared" si="8"/>
        <v>20247</v>
      </c>
      <c r="AL19" s="819">
        <f t="shared" si="8"/>
        <v>0</v>
      </c>
      <c r="AM19" s="832">
        <f t="shared" si="8"/>
        <v>0</v>
      </c>
      <c r="AN19" s="822">
        <f>IF(ISNUMBER(Datos!K19/Datos!J19),Datos!K19/Datos!J19," - ")</f>
        <v>1.0680784840255104</v>
      </c>
      <c r="AO19" s="822">
        <f>IF(ISNUMBER(FIND("06",Criterios!A8,1)),(IF(ISNUMBER(((Datos!R19/Datos!Q19)*11)/factor_trimestre),((Datos!R19/Datos!Q19)*11)/factor_trimestre," - ")),(IF(ISNUMBER(((Datos!L19/Datos!K19)*11)/factor_trimestre),((Datos!L19/Datos!K19)*11)/factor_trimestre," - ")))</f>
        <v>4.8224387177875556</v>
      </c>
      <c r="AP19" s="833" t="str">
        <f>IF(ISNUMBER(Datos!CI19/Datos!CJ19),Datos!CI19/Datos!CJ19," - ")</f>
        <v xml:space="preserve"> - </v>
      </c>
      <c r="AQ19" s="833">
        <f>IF(OR(ISNUMBER(FIND("01",Criterios!A8,1)),ISNUMBER(FIND("02",Criterios!A8,1)),ISNUMBER(FIND("03",Criterios!A8,1)),ISNUMBER(FIND("04",Criterios!A8,1))),(J19-Y19+K19)/(F19-K19),(I19-Y19+K19)/(F19-K19))</f>
        <v>-2.1685503685503686</v>
      </c>
      <c r="AR19" s="833">
        <f>IF(ISNUMBER((Datos!P19-Datos!Q19+O19)/(Datos!R19-Datos!P19+Datos!Q19-O19)),(Datos!P19-Datos!Q19+O19)/(Datos!R19-Datos!P19+Datos!Q19-O19)," - ")</f>
        <v>2.9635177062158981E-2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3375.6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4486.0115916033919</v>
      </c>
      <c r="G21" s="551">
        <f>IF(ISNUMBER(STDEV(G8:G18)),STDEV(G8:G18),"-")</f>
        <v>4281.8774270172662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1751.9855810452541</v>
      </c>
      <c r="AK21" s="251"/>
      <c r="AL21" s="251">
        <f>IF(ISNUMBER(STDEV(AL8:AL18)),STDEV(AL8:AL18),"-")</f>
        <v>0</v>
      </c>
      <c r="AM21" s="253">
        <f>IF(ISNUMBER(STDEV(AM8:AM18)),STDEV(AM8:AM18),"-")</f>
        <v>0</v>
      </c>
      <c r="AN21" s="538">
        <f>IF(ISNUMBER(STDEV(AN8:AN18)),STDEV(AN8:AN18),"-")</f>
        <v>0</v>
      </c>
      <c r="AO21" s="539">
        <f>IF(ISNUMBER(STDEV(AO8:AO18)),STDEV(AO8:AO18),"-")</f>
        <v>1.6132836219534781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TMe1ocf3dw/UTxYpxu6khyjVWcnheHRgxNbe0wXA7VN7oMg6yziygU9kkrMQBmzkKIb/7IQeEfsKF2cUQrMXyA==" saltValue="xV7OAhrG4Ad5bMJMFJqnw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cMnu79+fXzptXKp8xxfbIZJFb5Qk4lmFSeY7q3iOvp0rCaR129VmsadQoK1vUOWnUyjdQKWhhNytQG+tIIjrg==" saltValue="5Xy56gouiR00T5rgedkI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dvzFYBSxdOM4r+0ZVH3466ZuRhylvbOxLNE+J1SZRK5qtpMtvNe36sfpU5aGBM4dXCFxNpvAl+0WEEwqT0ZMQ==" saltValue="dW0MOiQxL5xA1bfrrljbV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GRANOLLERS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0.24106807070327191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0.17046086752184167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UfYI8Hq0dZzLbQtLhMuf7+nXyq0TcowtJNrQW4r1MFvNu1B6nutGj0WgXavqISnJVO4+Uo8pev1Id4smz68A9Q==" saltValue="WL6GBnSjcQSHmmI3JDaYH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k0/mrqTnmXzISLbj075XSx654Snc7u93jlTd/7WsvjIFxvUcKrjahwHSo0D+/x7VJ/x5JKP12PWy8r2ElkCnw==" saltValue="o8o9//gTei4u+itFKYcO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GRANOLLERS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8</v>
      </c>
      <c r="C9" s="402">
        <f>IF(ISNUMBER(IF(J_V="SI",Datos!I9,Datos!I9+Datos!Y9)),IF(J_V="SI",Datos!I9,Datos!I9+Datos!Y9)," - ")</f>
        <v>8371</v>
      </c>
      <c r="D9" s="403">
        <f>IF(ISNUMBER(C9/Datos!BH9),C9/Datos!BH9," - ")</f>
        <v>1046.375</v>
      </c>
      <c r="E9" s="402">
        <f>IF(ISNUMBER(IF(J_V="SI",Datos!J9,Datos!J9+Datos!Z9)),IF(J_V="SI",Datos!J9,Datos!J9+Datos!Z9)," - ")</f>
        <v>14273</v>
      </c>
      <c r="F9" s="403">
        <f>IF(ISNUMBER(E9/B9),E9/B9," - ")</f>
        <v>1784.125</v>
      </c>
      <c r="G9" s="402">
        <f>IF(ISNUMBER(IF(J_V="SI",Datos!K9,Datos!K9+Datos!AA9)),IF(J_V="SI",Datos!K9,Datos!K9+Datos!AA9)," - ")</f>
        <v>15901</v>
      </c>
      <c r="H9" s="403">
        <f>IF(ISNUMBER(G9/B9),G9/B9," - ")</f>
        <v>1987.625</v>
      </c>
      <c r="I9" s="402">
        <f>IF(ISNUMBER(IF(J_V="SI",Datos!L9,Datos!L9+Datos!AB9)),IF(J_V="SI",Datos!L9,Datos!L9+Datos!AB9)," - ")</f>
        <v>6793</v>
      </c>
      <c r="J9" s="403">
        <f>IF(ISNUMBER(I9/B9),I9/B9," - ")</f>
        <v>849.125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185</v>
      </c>
      <c r="D10" s="403">
        <f>IF(ISNUMBER(C10/Datos!BH10),C10/Datos!BH10," - ")</f>
        <v>185</v>
      </c>
      <c r="E10" s="402">
        <f>IF(ISNUMBER(Datos!J10),Datos!J10," - ")</f>
        <v>203</v>
      </c>
      <c r="F10" s="403">
        <f>IF(ISNUMBER(E10/B10),E10/B10," - ")</f>
        <v>203</v>
      </c>
      <c r="G10" s="402">
        <f>IF(ISNUMBER(Datos!K10),Datos!K10," - ")</f>
        <v>221</v>
      </c>
      <c r="H10" s="403">
        <f>IF(ISNUMBER(G10/B10),G10/B10," - ")</f>
        <v>221</v>
      </c>
      <c r="I10" s="402">
        <f>IF(ISNUMBER(Datos!L10),Datos!L10," - ")</f>
        <v>167</v>
      </c>
      <c r="J10" s="403">
        <f>IF(ISNUMBER(I10/B10),I10/B10," - ")</f>
        <v>167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880</v>
      </c>
      <c r="D11" s="403">
        <f>IF(ISNUMBER(C11/Datos!BH11),C11/Datos!BH11," - ")</f>
        <v>440</v>
      </c>
      <c r="E11" s="402">
        <f>IF(ISNUMBER(IF(J_V="SI",Datos!J11,Datos!J11+Datos!Z11)),IF(J_V="SI",Datos!J11,Datos!J11+Datos!Z11)," - ")</f>
        <v>2268</v>
      </c>
      <c r="F11" s="403">
        <f>IF(ISNUMBER(E11/B11),E11/B11," - ")</f>
        <v>1134</v>
      </c>
      <c r="G11" s="402">
        <f>IF(ISNUMBER(IF(J_V="SI",Datos!K11,Datos!K11+Datos!AA11)),IF(J_V="SI",Datos!K11,Datos!K11+Datos!AA11)," - ")</f>
        <v>2491</v>
      </c>
      <c r="H11" s="403">
        <f>IF(ISNUMBER(G11/B11),G11/B11," - ")</f>
        <v>1245.5</v>
      </c>
      <c r="I11" s="402">
        <f>IF(ISNUMBER(IF(J_V="SI",Datos!L11,Datos!L11+Datos!AB11)),IF(J_V="SI",Datos!L11,Datos!L11+Datos!AB11)," - ")</f>
        <v>661</v>
      </c>
      <c r="J11" s="403">
        <f>IF(ISNUMBER(I11/B11),I11/B11," - ")</f>
        <v>330.5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11</v>
      </c>
      <c r="C13" s="848">
        <f>SUBTOTAL(9,C8:C12)</f>
        <v>9436</v>
      </c>
      <c r="D13" s="849" t="str">
        <f>IF(ISNUMBER(C13/Datos!BI13),C13/Datos!BI13," - ")</f>
        <v xml:space="preserve"> - </v>
      </c>
      <c r="E13" s="848">
        <f>SUBTOTAL(9,E8:E12)</f>
        <v>16744</v>
      </c>
      <c r="F13" s="849">
        <f>IF(ISNUMBER(E13/B13),E13/B13," - ")</f>
        <v>1522.1818181818182</v>
      </c>
      <c r="G13" s="848">
        <f>SUBTOTAL(9,G8:G12)</f>
        <v>18613</v>
      </c>
      <c r="H13" s="849">
        <f>IF(ISNUMBER(G13/B13),G13/B13," - ")</f>
        <v>1692.090909090909</v>
      </c>
      <c r="I13" s="848">
        <f>SUBTOTAL(9,I8:I12)</f>
        <v>7621</v>
      </c>
      <c r="J13" s="849">
        <f>IF(ISNUMBER(I13/B13),I13/B13," - ")</f>
        <v>692.81818181818187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7872</v>
      </c>
      <c r="D15" s="403">
        <f>IF(ISNUMBER(C15/Datos!BH15),C15/Datos!BH15," - ")</f>
        <v>1968</v>
      </c>
      <c r="E15" s="402">
        <f>IF(ISNUMBER(IF(D_I="SI",Datos!J15,Datos!J15+Datos!AD15)),IF(D_I="SI",Datos!J15,Datos!J15+Datos!AD15)," - ")</f>
        <v>15886</v>
      </c>
      <c r="F15" s="403">
        <f>IF(ISNUMBER(E15/B15),E15/B15," - ")</f>
        <v>3971.5</v>
      </c>
      <c r="G15" s="402">
        <f>IF(ISNUMBER(IF(D_I="SI",Datos!K15,Datos!K15+Datos!AE15)),IF(D_I="SI",Datos!K15,Datos!K15+Datos!AE15)," - ")</f>
        <v>16377</v>
      </c>
      <c r="H15" s="403">
        <f>IF(ISNUMBER(G15/B15),G15/B15," - ")</f>
        <v>4094.25</v>
      </c>
      <c r="I15" s="402">
        <f>IF(ISNUMBER(IF(D_I="SI",Datos!L15,Datos!L15+Datos!AF15)),IF(D_I="SI",Datos!L15,Datos!L15+Datos!AF15)," - ")</f>
        <v>7464</v>
      </c>
      <c r="J15" s="403">
        <f>IF(ISNUMBER(I15/B15),I15/B15," - ")</f>
        <v>1866</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382</v>
      </c>
      <c r="D17" s="403">
        <f>IF(ISNUMBER(C17/Datos!BH17),C17/Datos!BH17," - ")</f>
        <v>382</v>
      </c>
      <c r="E17" s="402">
        <f>IF(ISNUMBER(IF(D_I="SI",Datos!J17,Datos!J17+Datos!AD17)),IF(D_I="SI",Datos!J17,Datos!J17+Datos!AD17)," - ")</f>
        <v>1152</v>
      </c>
      <c r="F17" s="403">
        <f>IF(ISNUMBER(E17/B17),E17/B17," - ")</f>
        <v>1152</v>
      </c>
      <c r="G17" s="402">
        <f>IF(ISNUMBER(IF(D_I="SI",Datos!K17,Datos!K17+Datos!AE17)),IF(D_I="SI",Datos!K17,Datos!K17+Datos!AE17)," - ")</f>
        <v>1054</v>
      </c>
      <c r="H17" s="403">
        <f>IF(ISNUMBER(G17/B17),G17/B17," - ")</f>
        <v>1054</v>
      </c>
      <c r="I17" s="402">
        <f>IF(ISNUMBER(IF(D_I="SI",Datos!L17,Datos!L17+Datos!AF17)),IF(D_I="SI",Datos!L17,Datos!L17+Datos!AF17)," - ")</f>
        <v>499</v>
      </c>
      <c r="J17" s="403">
        <f>IF(ISNUMBER(I17/B17),I17/B17," - ")</f>
        <v>499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8254</v>
      </c>
      <c r="D18" s="849" t="str">
        <f>IF(ISNUMBER(C18/Datos!BI18),C18/Datos!BI18," - ")</f>
        <v xml:space="preserve"> - </v>
      </c>
      <c r="E18" s="848">
        <f>SUBTOTAL(9,E14:E17)</f>
        <v>17038</v>
      </c>
      <c r="F18" s="849">
        <f>IF(ISNUMBER(E18/B18),E18/B18," - ")</f>
        <v>3407.6</v>
      </c>
      <c r="G18" s="848">
        <f>SUBTOTAL(9,G14:G17)</f>
        <v>17431</v>
      </c>
      <c r="H18" s="849">
        <f>IF(ISNUMBER(G18/B18),G18/B18," - ")</f>
        <v>3486.2</v>
      </c>
      <c r="I18" s="848">
        <f>SUBTOTAL(9,I14:I17)</f>
        <v>7963</v>
      </c>
      <c r="J18" s="849">
        <f>IF(ISNUMBER(I18/B18),I18/B18," - ")</f>
        <v>1592.6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15</v>
      </c>
      <c r="C19" s="793">
        <f>SUBTOTAL(9,C9:C18)</f>
        <v>17690</v>
      </c>
      <c r="D19" s="794" t="str">
        <f>IF(ISNUMBER(C19/Datos!BI19),C19/Datos!BI19," - ")</f>
        <v xml:space="preserve"> - </v>
      </c>
      <c r="E19" s="793">
        <f>SUBTOTAL(9,E9:E18)</f>
        <v>33782</v>
      </c>
      <c r="F19" s="794">
        <f>IF(ISNUMBER(E19/B19),E19/B19," - ")</f>
        <v>2252.1333333333332</v>
      </c>
      <c r="G19" s="793">
        <f>SUBTOTAL(9,G9:G18)</f>
        <v>36044</v>
      </c>
      <c r="H19" s="794">
        <f>IF(ISNUMBER(G19/B19),G19/B19," - ")</f>
        <v>2402.9333333333334</v>
      </c>
      <c r="I19" s="793">
        <f>SUBTOTAL(9,I9:I18)</f>
        <v>15584</v>
      </c>
      <c r="J19" s="794">
        <f>IF(ISNUMBER(I19/B19),I19/B19," - ")</f>
        <v>1038.9333333333334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YYukhzs/Rty7pRCgU0kOeiEWwnYMKnS5plMRvbRYeBD4e2Q3PYaqQqYXW2B3Hhj5XA1z+yiB+KeE0Z5LK1Jirw==" saltValue="Vr+ELTyNnzXg68QEyame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GRANOLLERS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8</v>
      </c>
      <c r="B9" s="500" t="s">
        <v>246</v>
      </c>
      <c r="C9" s="159" t="str">
        <f>Datos!A9</f>
        <v xml:space="preserve">Jdos. 1ª Instancia   </v>
      </c>
      <c r="D9" s="501"/>
      <c r="E9" s="681">
        <f>IF(ISNUMBER(Datos!AQ9),Datos!AQ9," - ")</f>
        <v>8</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185</v>
      </c>
      <c r="G10" s="683">
        <f>IF(ISNUMBER(Datos!I10),Datos!I10," - ")</f>
        <v>185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221</v>
      </c>
      <c r="AC10" s="682" t="str">
        <f>IF(ISNUMBER(IF(D_I="SI",DatosP!K17,DatosP!K17+DatosP!AE17)),IF(D_I="SI",DatosP!K17,DatosP!K17+DatosP!AE17)," - ")</f>
        <v xml:space="preserve"> - </v>
      </c>
      <c r="AD10" s="684"/>
      <c r="AE10" s="684"/>
      <c r="AF10" s="687">
        <f>IF(ISNUMBER(Datos!L10),Datos!L10,"-")</f>
        <v>167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75</v>
      </c>
      <c r="AM10" s="689">
        <f>IF(ISNUMBER(Datos!N10+DatosP!N17),Datos!N10+DatosP!N17," - ")</f>
        <v>111</v>
      </c>
      <c r="AN10" s="689">
        <f>IF(ISNUMBER(Datos!BW10+DatosP!BW17),Datos!BW10+DatosP!BW17," - ")</f>
        <v>0</v>
      </c>
      <c r="AO10" s="690">
        <f>IF(ISNUMBER(Datos!BX10+DatosP!BX17),Datos!BX10+DatosP!BX17," - ")</f>
        <v>0</v>
      </c>
      <c r="AP10" s="692">
        <f>IF(ISNUMBER(((Datos!L10/Datos!K10)*11)/factor_trimestre),((Datos!L10/Datos!K10)*11)/factor_trimestre," - ")</f>
        <v>8.3122171945701346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11</v>
      </c>
      <c r="F13" s="937">
        <f t="shared" si="0"/>
        <v>185</v>
      </c>
      <c r="G13" s="937">
        <f t="shared" si="0"/>
        <v>185</v>
      </c>
      <c r="H13" s="937">
        <f t="shared" si="0"/>
        <v>0</v>
      </c>
      <c r="I13" s="939">
        <f t="shared" si="0"/>
        <v>0</v>
      </c>
      <c r="J13" s="938">
        <f t="shared" si="0"/>
        <v>0</v>
      </c>
      <c r="K13" s="938">
        <f t="shared" si="0"/>
        <v>0</v>
      </c>
      <c r="L13" s="940">
        <f t="shared" si="0"/>
        <v>0</v>
      </c>
      <c r="M13" s="940">
        <f t="shared" si="0"/>
        <v>0</v>
      </c>
      <c r="N13" s="938">
        <f t="shared" si="0"/>
        <v>43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221</v>
      </c>
      <c r="AC13" s="938">
        <f t="shared" si="1"/>
        <v>0</v>
      </c>
      <c r="AD13" s="938">
        <f t="shared" si="1"/>
        <v>0</v>
      </c>
      <c r="AE13" s="938">
        <f t="shared" si="1"/>
        <v>0</v>
      </c>
      <c r="AF13" s="938">
        <f t="shared" si="1"/>
        <v>167</v>
      </c>
      <c r="AG13" s="938">
        <f t="shared" si="1"/>
        <v>0</v>
      </c>
      <c r="AH13" s="938">
        <f t="shared" si="1"/>
        <v>0</v>
      </c>
      <c r="AI13" s="938">
        <f t="shared" si="1"/>
        <v>0</v>
      </c>
      <c r="AJ13" s="938">
        <f t="shared" si="1"/>
        <v>0</v>
      </c>
      <c r="AK13" s="938">
        <f t="shared" si="1"/>
        <v>0</v>
      </c>
      <c r="AL13" s="938">
        <f t="shared" si="1"/>
        <v>75</v>
      </c>
      <c r="AM13" s="938">
        <f t="shared" si="1"/>
        <v>111</v>
      </c>
      <c r="AN13" s="938">
        <f t="shared" si="1"/>
        <v>0</v>
      </c>
      <c r="AO13" s="938">
        <f t="shared" si="1"/>
        <v>0</v>
      </c>
      <c r="AP13" s="943">
        <f>IF(ISNUMBER(((Datos!L13/Datos!K13)*11)/factor_trimestre),((Datos!L13/Datos!K13)*11)/factor_trimestre," - ")</f>
        <v>4.6213647487337095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-1.1945945945945946</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5.0251276461476673</v>
      </c>
      <c r="AQ18" s="943">
        <f>IF(ISNUMBER(((Datos!M18/Datos!L18)*11)/factor_trimestre),((Datos!M18/Datos!L18)*11)/factor_trimestre," - ")</f>
        <v>2.442295617229687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0.26556016597510373</v>
      </c>
      <c r="AW18" s="945">
        <f>IF(ISNUMBER((Datos!Q18-Datos!R18)/(Datos!S18-Datos!Q18+Datos!R18)),(Datos!Q18-Datos!R18)/(Datos!S18-Datos!Q18+Datos!R18)," - ")</f>
        <v>3.3835697399527187E-2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11</v>
      </c>
      <c r="F19" s="950">
        <f t="shared" si="4"/>
        <v>185</v>
      </c>
      <c r="G19" s="950">
        <f t="shared" si="4"/>
        <v>185</v>
      </c>
      <c r="H19" s="950">
        <f t="shared" si="4"/>
        <v>0</v>
      </c>
      <c r="I19" s="951">
        <f t="shared" si="4"/>
        <v>0</v>
      </c>
      <c r="J19" s="952">
        <f t="shared" si="4"/>
        <v>0</v>
      </c>
      <c r="K19" s="952">
        <f t="shared" si="4"/>
        <v>0</v>
      </c>
      <c r="L19" s="952">
        <f t="shared" si="4"/>
        <v>0</v>
      </c>
      <c r="M19" s="952">
        <f t="shared" si="4"/>
        <v>0</v>
      </c>
      <c r="N19" s="951">
        <f t="shared" si="4"/>
        <v>43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221</v>
      </c>
      <c r="AC19" s="956">
        <f t="shared" si="5"/>
        <v>0</v>
      </c>
      <c r="AD19" s="956">
        <f t="shared" si="5"/>
        <v>0</v>
      </c>
      <c r="AE19" s="956">
        <f t="shared" si="5"/>
        <v>0</v>
      </c>
      <c r="AF19" s="957">
        <f t="shared" si="5"/>
        <v>167</v>
      </c>
      <c r="AG19" s="957">
        <f t="shared" si="5"/>
        <v>0</v>
      </c>
      <c r="AH19" s="957">
        <f t="shared" si="5"/>
        <v>0</v>
      </c>
      <c r="AI19" s="957">
        <f t="shared" si="5"/>
        <v>0</v>
      </c>
      <c r="AJ19" s="958">
        <f t="shared" si="5"/>
        <v>0</v>
      </c>
      <c r="AK19" s="958">
        <f t="shared" si="5"/>
        <v>0</v>
      </c>
      <c r="AL19" s="950">
        <f t="shared" si="5"/>
        <v>75</v>
      </c>
      <c r="AM19" s="950">
        <f t="shared" si="5"/>
        <v>111</v>
      </c>
      <c r="AN19" s="950">
        <f t="shared" si="5"/>
        <v>0</v>
      </c>
      <c r="AO19" s="950">
        <f t="shared" si="5"/>
        <v>0</v>
      </c>
      <c r="AP19" s="950">
        <f>IF(ISNUMBER(((Datos!L19/Datos!K19)*11)/factor_trimestre),((Datos!L19/Datos!K19)*11)/factor_trimestre," - ")</f>
        <v>4.8224387177875556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-1.1945945945945946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2.9635177062158981E-2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4.6761807778000488</v>
      </c>
      <c r="F21" s="735">
        <f>IF(ISNUMBER(STDEV(F8:F18)),STDEV(F8:F18),"-")</f>
        <v>106.80979980008077</v>
      </c>
      <c r="G21" s="736">
        <f>IF(ISNUMBER(STDEV(G8:G18)),STDEV(G8:G18),"-")</f>
        <v>106.80979980008077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127.5944094909073</v>
      </c>
      <c r="AC21" s="737">
        <f>IF(ISNUMBER(STDEV(AC8:AC18)),STDEV(AC8:AC18),"-")</f>
        <v>0</v>
      </c>
      <c r="AD21" s="740"/>
      <c r="AE21" s="740"/>
      <c r="AF21" s="740"/>
      <c r="AG21" s="740"/>
      <c r="AH21" s="740"/>
      <c r="AI21" s="740"/>
      <c r="AJ21" s="741">
        <f>IF(ISNUMBER(STDEV(AJ8:AJ18)),STDEV(AJ8:AJ18),"-")</f>
        <v>0</v>
      </c>
      <c r="AK21" s="743"/>
      <c r="AL21" s="735">
        <f>IF(ISNUMBER(STDEV(AL8:AL18)),STDEV(AL8:AL18),"-")</f>
        <v>43.301270189221931</v>
      </c>
      <c r="AM21" s="735"/>
      <c r="AN21" s="735">
        <f>IF(ISNUMBER(STDEV(AN8:AN18)),STDEV(AN8:AN18),"-")</f>
        <v>0</v>
      </c>
      <c r="AO21" s="741">
        <f>IF(ISNUMBER(STDEV(AO8:AO18)),STDEV(AO8:AO18),"-")</f>
        <v>0</v>
      </c>
      <c r="AP21" s="778">
        <f>IF(ISNUMBER(STDEV(AP8:AP18)),STDEV(AP8:AP18),"-")</f>
        <v>2.024449470580953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pn6/57pJdiT1Zy6Un+Z2Y/LzidUPvsyjX4YdwLsNbK1MmRvJqCjOkJV3YU2h/IeBMEKp2GCQWMNYfHd3PmoVHw==" saltValue="SXdnLiSfseNcftpgKPwXD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GRANOLLERS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8</v>
      </c>
      <c r="D9" s="402">
        <f>Datos!BK9</f>
        <v>0</v>
      </c>
      <c r="E9" s="402">
        <f>Datos!AQ9</f>
        <v>8</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YPk4kfVNn5U6d5Mze+OSSEOAAoIpDosSc5sKcKFB3KUcrdMCwII4Li3ka4dtamWkuy4o+ZEZObr0ozIBzTCtvg==" saltValue="Q0r7TP4T5ePesMF675YH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GRANOLLERS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8</v>
      </c>
      <c r="C9" s="409">
        <f>Datos!AQ9</f>
        <v>8</v>
      </c>
      <c r="D9" s="402">
        <f>IF(ISNUMBER(Datos!M9),Datos!M9," - ")</f>
        <v>3773</v>
      </c>
      <c r="E9" s="403">
        <f t="shared" ref="E9:E13" si="0">IF(ISNUMBER(D9/B9),D9/B9," - ")</f>
        <v>471.625</v>
      </c>
      <c r="F9" s="402">
        <f>IF(ISNUMBER(Datos!N9),Datos!N9," - ")</f>
        <v>7514</v>
      </c>
      <c r="G9" s="403">
        <f t="shared" ref="G9:G13" si="1">IF(ISNUMBER(F9/B9),F9/B9," - ")</f>
        <v>939.25</v>
      </c>
      <c r="H9" s="402">
        <f>IF(ISNUMBER(Datos!O9),Datos!O9," - ")</f>
        <v>7191</v>
      </c>
      <c r="I9" s="403">
        <f>IF(ISNUMBER(H9/B9),H9/B9," - ")</f>
        <v>898.875</v>
      </c>
      <c r="BZ9" s="1185">
        <f>Datos!EZ9</f>
        <v>0</v>
      </c>
    </row>
    <row r="10" spans="1:78">
      <c r="A10" s="401" t="str">
        <f>Datos!A10</f>
        <v>Jdos. Violencia contra la mujer/Secc Viol. TI.</v>
      </c>
      <c r="B10" s="426">
        <f>Datos!AO10</f>
        <v>1</v>
      </c>
      <c r="C10" s="409">
        <f>Datos!AQ10</f>
        <v>1</v>
      </c>
      <c r="D10" s="402">
        <f>IF(ISNUMBER(Datos!M10),Datos!M10," - ")</f>
        <v>75</v>
      </c>
      <c r="E10" s="403">
        <f>IF(ISNUMBER(D10/B10),D10/B10," - ")</f>
        <v>75</v>
      </c>
      <c r="F10" s="402">
        <f>IF(ISNUMBER(Datos!N10),Datos!N10," - ")</f>
        <v>111</v>
      </c>
      <c r="G10" s="403">
        <f>IF(ISNUMBER(F10/B10),F10/B10," - ")</f>
        <v>111</v>
      </c>
      <c r="H10" s="402">
        <f>IF(ISNUMBER(Datos!O10),Datos!O10," - ")</f>
        <v>61</v>
      </c>
      <c r="I10" s="403">
        <f t="shared" ref="I10:I12" si="2">IF(ISNUMBER(H10/B10),H10/B10," - ")</f>
        <v>61</v>
      </c>
      <c r="BZ10" s="1185">
        <f>Datos!EZ10</f>
        <v>0</v>
      </c>
    </row>
    <row r="11" spans="1:78">
      <c r="A11" s="401" t="str">
        <f>Datos!A11</f>
        <v xml:space="preserve">Jdos. Familia                                   </v>
      </c>
      <c r="B11" s="426">
        <f>Datos!AO11</f>
        <v>2</v>
      </c>
      <c r="C11" s="409">
        <f>Datos!AQ11</f>
        <v>2</v>
      </c>
      <c r="D11" s="402">
        <f>IF(ISNUMBER(Datos!M11),Datos!M11," - ")</f>
        <v>639</v>
      </c>
      <c r="E11" s="403">
        <f t="shared" si="0"/>
        <v>319.5</v>
      </c>
      <c r="F11" s="402">
        <f>IF(ISNUMBER(Datos!N11),Datos!N11," - ")</f>
        <v>1190</v>
      </c>
      <c r="G11" s="403">
        <f t="shared" si="1"/>
        <v>595</v>
      </c>
      <c r="H11" s="402">
        <f>IF(ISNUMBER(Datos!O11),Datos!O11," - ")</f>
        <v>610</v>
      </c>
      <c r="I11" s="403">
        <f t="shared" si="2"/>
        <v>305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11</v>
      </c>
      <c r="C13" s="850">
        <f>Datos!AR13</f>
        <v>11</v>
      </c>
      <c r="D13" s="848">
        <f>SUBTOTAL(9,D9:D12)</f>
        <v>4487</v>
      </c>
      <c r="E13" s="849">
        <f t="shared" si="0"/>
        <v>407.90909090909093</v>
      </c>
      <c r="F13" s="848">
        <f>SUBTOTAL(9,F9:F12)</f>
        <v>8815</v>
      </c>
      <c r="G13" s="849">
        <f t="shared" si="1"/>
        <v>801.36363636363637</v>
      </c>
      <c r="H13" s="848">
        <f>SUBTOTAL(9,H9:H12)</f>
        <v>7862</v>
      </c>
      <c r="I13" s="849">
        <f>IF(ISNUMBER(H13/B13),H13/B13," - ")</f>
        <v>714.72727272727275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1691</v>
      </c>
      <c r="E15" s="403">
        <f t="shared" ref="E15:E18" si="3">IF(ISNUMBER(D15/B15),D15/B15," - ")</f>
        <v>422.75</v>
      </c>
      <c r="F15" s="402">
        <f>IF(ISNUMBER(Datos!N15),Datos!N15," - ")</f>
        <v>10937</v>
      </c>
      <c r="G15" s="403">
        <f t="shared" ref="G15:G18" si="4">IF(ISNUMBER(F15/B15),F15/B15," - ")</f>
        <v>2734.25</v>
      </c>
      <c r="H15" s="402">
        <f>IF(ISNUMBER(Datos!O15),Datos!O15," - ")</f>
        <v>271</v>
      </c>
      <c r="I15" s="403">
        <f t="shared" ref="I15:I17" si="5">IF(ISNUMBER(H15/B15),H15/B15," - ")</f>
        <v>67.75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77</v>
      </c>
      <c r="E17" s="403">
        <f>IF(ISNUMBER(D17/B17),D17/B17," - ")</f>
        <v>77</v>
      </c>
      <c r="F17" s="402">
        <f>IF(ISNUMBER(Datos!N17),Datos!N17," - ")</f>
        <v>495</v>
      </c>
      <c r="G17" s="403">
        <f>IF(ISNUMBER(F17/B17),F17/B17," - ")</f>
        <v>495</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1768</v>
      </c>
      <c r="E18" s="849">
        <f t="shared" si="3"/>
        <v>353.6</v>
      </c>
      <c r="F18" s="848">
        <f>SUBTOTAL(9,F15:F17)</f>
        <v>11432</v>
      </c>
      <c r="G18" s="849">
        <f t="shared" si="4"/>
        <v>2286.4</v>
      </c>
      <c r="H18" s="848">
        <f>SUBTOTAL(9,H15:H17)</f>
        <v>271</v>
      </c>
      <c r="I18" s="849">
        <f>IF(ISNUMBER(H18/B18),H18/B18," - ")</f>
        <v>54.2</v>
      </c>
      <c r="BZ18" s="1185"/>
    </row>
    <row r="19" spans="1:78" ht="14.25" thickTop="1" thickBot="1">
      <c r="A19" s="792" t="str">
        <f>Datos!A19</f>
        <v>TOTAL JURISDICCIONES</v>
      </c>
      <c r="B19" s="793">
        <f>Datos!AP19</f>
        <v>15</v>
      </c>
      <c r="C19" s="793">
        <f>Datos!AR19</f>
        <v>15</v>
      </c>
      <c r="D19" s="793">
        <f>SUBTOTAL(9,D8:D18)</f>
        <v>6255</v>
      </c>
      <c r="E19" s="794">
        <f>IF(ISNUMBER(D19/B19),D19/B19," - ")</f>
        <v>417</v>
      </c>
      <c r="F19" s="793">
        <f>SUBTOTAL(9,F8:F18)</f>
        <v>20247</v>
      </c>
      <c r="G19" s="794">
        <f>IF(ISNUMBER(F19/B19),F19/B19," - ")</f>
        <v>1349.8</v>
      </c>
      <c r="H19" s="793">
        <f>SUBTOTAL(9,H8:H18)</f>
        <v>8133</v>
      </c>
      <c r="I19" s="794">
        <f>IF(ISNUMBER(H19/B19),H19/B19," - ")</f>
        <v>542.20000000000005</v>
      </c>
    </row>
    <row r="22" spans="1:78">
      <c r="A22" s="390" t="str">
        <f>Criterios!A4</f>
        <v>Fecha Informe: 18 mar. 2026</v>
      </c>
    </row>
    <row r="27" spans="1:78">
      <c r="A27" s="413"/>
    </row>
  </sheetData>
  <sheetProtection algorithmName="SHA-512" hashValue="rpKMWbCn37cdVVKTcHRrrCjVaJXvWAM5PGi9pTdRwGnm50R1+PWTkJdaKaaiwv88TJ6JcNEiJAawHu6hrzUVrg==" saltValue="XLPhrhqozqx3eJj6H/t8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GRANOLLERS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6781</v>
      </c>
      <c r="C9" s="433">
        <f>IF(ISNUMBER(Datos!Q9),Datos!Q9," - ")</f>
        <v>6465</v>
      </c>
      <c r="D9" s="407">
        <f>IF(ISNUMBER(Datos!R9),Datos!R9," - ")</f>
        <v>17595</v>
      </c>
    </row>
    <row r="10" spans="1:4">
      <c r="A10" s="401" t="str">
        <f>Datos!A10</f>
        <v>Jdos. Violencia contra la mujer/Secc Viol. TI.</v>
      </c>
      <c r="B10" s="432">
        <f>IF(ISNUMBER(Datos!P10),Datos!P10," - ")</f>
        <v>43</v>
      </c>
      <c r="C10" s="433">
        <f>IF(ISNUMBER(Datos!Q10),Datos!Q10," - ")</f>
        <v>57</v>
      </c>
      <c r="D10" s="407">
        <f>IF(ISNUMBER(Datos!R10),Datos!R10," - ")</f>
        <v>116</v>
      </c>
    </row>
    <row r="11" spans="1:4">
      <c r="A11" s="401" t="str">
        <f>Datos!A11</f>
        <v xml:space="preserve">Jdos. Familia                                   </v>
      </c>
      <c r="B11" s="432">
        <f>IF(ISNUMBER(Datos!P11),Datos!P11," - ")</f>
        <v>363</v>
      </c>
      <c r="C11" s="433">
        <f>IF(ISNUMBER(Datos!Q11),Datos!Q11," - ")</f>
        <v>239</v>
      </c>
      <c r="D11" s="407">
        <f>IF(ISNUMBER(Datos!R11),Datos!R11," - ")</f>
        <v>927</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7187</v>
      </c>
      <c r="C13" s="852">
        <f>SUBTOTAL(9,C9:C12)</f>
        <v>6761</v>
      </c>
      <c r="D13" s="850">
        <f>SUBTOTAL(9,D9:D12)</f>
        <v>18638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962</v>
      </c>
      <c r="C15" s="433">
        <f>IF(ISNUMBER(Datos!Q15),Datos!Q15," - ")</f>
        <v>834</v>
      </c>
      <c r="D15" s="407">
        <f>IF(ISNUMBER(Datos!R15),Datos!R15," - ")</f>
        <v>601</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5</v>
      </c>
      <c r="C17" s="433">
        <f>IF(ISNUMBER(Datos!Q17),Datos!Q17," - ")</f>
        <v>5</v>
      </c>
      <c r="D17" s="407">
        <f>IF(ISNUMBER(Datos!R17),Datos!R17," - ")</f>
        <v>9</v>
      </c>
    </row>
    <row r="18" spans="1:4" ht="14.25" thickTop="1" thickBot="1">
      <c r="A18" s="847" t="str">
        <f>Datos!A18</f>
        <v>TOTAL</v>
      </c>
      <c r="B18" s="848">
        <f>SUBTOTAL(9,B15:B17)</f>
        <v>967</v>
      </c>
      <c r="C18" s="852">
        <f>SUBTOTAL(9,C15:C17)</f>
        <v>839</v>
      </c>
      <c r="D18" s="850">
        <f>SUBTOTAL(9,D15:D17)</f>
        <v>610</v>
      </c>
    </row>
    <row r="19" spans="1:4" ht="16.5" customHeight="1" thickTop="1" thickBot="1">
      <c r="A19" s="792" t="str">
        <f>Datos!A19</f>
        <v>TOTAL JURISDICCIONES</v>
      </c>
      <c r="B19" s="797">
        <f>SUBTOTAL(9,B8:B18)</f>
        <v>8154</v>
      </c>
      <c r="C19" s="798">
        <f>SUBTOTAL(9,C8:C18)</f>
        <v>7600</v>
      </c>
      <c r="D19" s="799">
        <f>SUBTOTAL(9,D8:D18)</f>
        <v>19248</v>
      </c>
    </row>
    <row r="20" spans="1:4" ht="7.5" customHeight="1"/>
    <row r="21" spans="1:4" ht="6" customHeight="1"/>
    <row r="22" spans="1:4">
      <c r="A22" s="390" t="str">
        <f>Criterios!A4</f>
        <v>Fecha Informe: 18 mar. 2026</v>
      </c>
    </row>
    <row r="27" spans="1:4">
      <c r="A27" s="413"/>
    </row>
  </sheetData>
  <sheetProtection algorithmName="SHA-512" hashValue="opU8PPRAXzkcw7mcBwDKuYN+w1UE3qA/e124s47H30DQQll5d5WnXqVhpC4V5GYktNoNPQY7h3e8rvX9iTH/+g==" saltValue="r/CTSEOheVDag941tg+G8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GRANOLLERS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-8.7828266317968834E-2</v>
      </c>
      <c r="C9" s="455">
        <f>IF(ISNUMBER(
   IF(J_V="SI",(Datos!J9-Datos!T9)/Datos!T9,(Datos!J9+Datos!Z9-(Datos!T9+Datos!AH9))/(Datos!T9+Datos!AH9))
     ),IF(J_V="SI",(Datos!J9-Datos!T9)/Datos!T9,(Datos!J9+Datos!Z9-(Datos!T9+Datos!AH9))/(Datos!T9+Datos!AH9))," - ")</f>
        <v>2.3520975259949804E-2</v>
      </c>
      <c r="D9" s="455">
        <f>IF(ISNUMBER(
   IF(J_V="SI",(Datos!K9-Datos!U9)/Datos!U9,(Datos!K9+Datos!AA9-(Datos!U9+Datos!AI9))/(Datos!U9+Datos!AI9))
     ),IF(J_V="SI",(Datos!K9-Datos!U9)/Datos!U9,(Datos!K9+Datos!AA9-(Datos!U9+Datos!AI9))/(Datos!U9+Datos!AI9))," - ")</f>
        <v>7.8326325783263262E-2</v>
      </c>
      <c r="E9" s="455">
        <f>IF(ISNUMBER(
   IF(J_V="SI",(Datos!L9-Datos!V9)/Datos!V9,(Datos!L9+Datos!AB9-(Datos!V9+Datos!AJ9))/(Datos!V9+Datos!AJ9))
     ),IF(J_V="SI",(Datos!L9-Datos!V9)/Datos!V9,(Datos!L9+Datos!AB9-(Datos!V9+Datos!AJ9))/(Datos!V9+Datos!AJ9))," - ")</f>
        <v>-0.188507944092701</v>
      </c>
      <c r="F9" s="455">
        <f>IF(ISNUMBER((Datos!M9-Datos!W9)/Datos!W9),(Datos!M9-Datos!W9)/Datos!W9," - ")</f>
        <v>8.7946943483275669E-2</v>
      </c>
      <c r="G9" s="456">
        <f>IF(ISNUMBER((Datos!N9-Datos!X9)/Datos!X9),(Datos!N9-Datos!X9)/Datos!X9," - ")</f>
        <v>0.21252218815555915</v>
      </c>
      <c r="H9" s="454">
        <f>IF(ISNUMBER(((NºAsuntos!G9/NºAsuntos!E9)-Datos!BD9)/Datos!BD9),((NºAsuntos!G9/NºAsuntos!E9)-Datos!BD9)/Datos!BD9," - ")</f>
        <v>5.3545898763231847E-2</v>
      </c>
      <c r="I9" s="455">
        <f>IF(ISNUMBER(((NºAsuntos!I9/NºAsuntos!G9)-Datos!BE9)/Datos!BE9),((NºAsuntos!I9/NºAsuntos!G9)-Datos!BE9)/Datos!BE9," - ")</f>
        <v>-0.24745224473875663</v>
      </c>
      <c r="J9" s="460">
        <f>IF(ISNUMBER((('Resol  Asuntos'!D9/NºAsuntos!G9)-Datos!BF9)/Datos!BF9),(('Resol  Asuntos'!D9/NºAsuntos!G9)-Datos!BF9)/Datos!BF9," - ")</f>
        <v>-0.43538150373858453</v>
      </c>
      <c r="K9" s="461">
        <f>IF(ISNUMBER((((NºAsuntos!C9+NºAsuntos!E9)/NºAsuntos!G9)-Datos!BG9)/Datos!BG9),(((NºAsuntos!C9+NºAsuntos!E9)/NºAsuntos!G9)-Datos!BG9)/Datos!BG9," - ")</f>
        <v>-9.1808273231315865E-2</v>
      </c>
    </row>
    <row r="10" spans="1:11" ht="21">
      <c r="A10" s="401" t="str">
        <f>Datos!A10</f>
        <v>Jdos. Violencia contra la mujer/Secc Viol. TI.</v>
      </c>
      <c r="B10" s="454">
        <f>IF(ISNUMBER((Datos!I10-Datos!S10)/Datos!S10),(Datos!I10-Datos!S10)/Datos!S10," - ")</f>
        <v>0.94736842105263153</v>
      </c>
      <c r="C10" s="455">
        <f>IF(ISNUMBER((Datos!J10-Datos!T10)/Datos!T10),(Datos!J10-Datos!T10)/Datos!T10," - ")</f>
        <v>-0.15767634854771784</v>
      </c>
      <c r="D10" s="455">
        <f>IF(ISNUMBER((Datos!K10-Datos!U10)/Datos!U10),(Datos!K10-Datos!U10)/Datos!U10," - ")</f>
        <v>0.46357615894039733</v>
      </c>
      <c r="E10" s="455">
        <f>IF(ISNUMBER((Datos!L10-Datos!V10)/Datos!V10),(Datos!L10-Datos!V10)/Datos!V10," - ")</f>
        <v>-9.7297297297297303E-2</v>
      </c>
      <c r="F10" s="455">
        <f>IF(ISNUMBER((Datos!M10-Datos!W10)/Datos!W10),(Datos!M10-Datos!W10)/Datos!W10," - ")</f>
        <v>1.5862068965517242</v>
      </c>
      <c r="G10" s="456">
        <f>IF(ISNUMBER((Datos!N10-Datos!X10)/Datos!X10),(Datos!N10-Datos!X10)/Datos!X10," - ")</f>
        <v>3.625</v>
      </c>
      <c r="H10" s="454">
        <f>IF(ISNUMBER(((NºAsuntos!G10/NºAsuntos!E10)-Datos!BD10)/Datos!BD10),((NºAsuntos!G10/NºAsuntos!E10)-Datos!BD10)/Datos!BD10," - ")</f>
        <v>0.73754608031840263</v>
      </c>
      <c r="I10" s="455">
        <f>IF(ISNUMBER(((NºAsuntos!I10/NºAsuntos!G10)-Datos!BE10)/Datos!BE10),((NºAsuntos!I10/NºAsuntos!G10)-Datos!BE10)/Datos!BE10," - ")</f>
        <v>-0.38322123028005384</v>
      </c>
      <c r="J10" s="460">
        <f>IF(ISNUMBER((('Resol  Asuntos'!D10/NºAsuntos!G10)-Datos!BF10)/Datos!BF10),(('Resol  Asuntos'!D10/NºAsuntos!G10)-Datos!BF10)/Datos!BF10," - ")</f>
        <v>0.76704634108285219</v>
      </c>
      <c r="K10" s="461">
        <f>IF(ISNUMBER((((NºAsuntos!C10+NºAsuntos!E10)/NºAsuntos!G10)-Datos!BG10)/Datos!BG10),(((NºAsuntos!C10+NºAsuntos!E10)/NºAsuntos!G10)-Datos!BG10)/Datos!BG10," - ")</f>
        <v>-0.21099978452919624</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-0.22874671340929009</v>
      </c>
      <c r="C11" s="455">
        <f>IF(ISNUMBER(
   IF(J_V="SI",(Datos!J11-Datos!T11)/Datos!T11,(Datos!J11+Datos!Z11-(Datos!T11+Datos!AH11))/(Datos!T11+Datos!AH11))
     ),IF(J_V="SI",(Datos!J11-Datos!T11)/Datos!T11,(Datos!J11+Datos!Z11-(Datos!T11+Datos!AH11))/(Datos!T11+Datos!AH11))," - ")</f>
        <v>-0.10497237569060773</v>
      </c>
      <c r="D11" s="455">
        <f>IF(ISNUMBER(
   IF(J_V="SI",(Datos!K11-Datos!U11)/Datos!U11,(Datos!K11+Datos!AA11-(Datos!U11+Datos!AI11))/(Datos!U11+Datos!AI11))
     ),IF(J_V="SI",(Datos!K11-Datos!U11)/Datos!U11,(Datos!K11+Datos!AA11-(Datos!U11+Datos!AI11))/(Datos!U11+Datos!AI11))," - ")</f>
        <v>-8.7879897473452942E-2</v>
      </c>
      <c r="E11" s="455">
        <f>IF(ISNUMBER(
   IF(J_V="SI",(Datos!L11-Datos!V11)/Datos!V11,(Datos!L11+Datos!AB11-(Datos!V11+Datos!AJ11))/(Datos!V11+Datos!AJ11))
     ),IF(J_V="SI",(Datos!L11-Datos!V11)/Datos!V11,(Datos!L11+Datos!AB11-(Datos!V11+Datos!AJ11))/(Datos!V11+Datos!AJ11))," - ")</f>
        <v>-0.24886363636363637</v>
      </c>
      <c r="F11" s="455">
        <f>IF(ISNUMBER((Datos!M11-Datos!W11)/Datos!W11),(Datos!M11-Datos!W11)/Datos!W11," - ")</f>
        <v>-3.6199095022624438E-2</v>
      </c>
      <c r="G11" s="456">
        <f>IF(ISNUMBER((Datos!N11-Datos!X11)/Datos!X11),(Datos!N11-Datos!X11)/Datos!X11," - ")</f>
        <v>-9.5057034220532313E-2</v>
      </c>
      <c r="H11" s="454">
        <f>IF(ISNUMBER(((NºAsuntos!G11/NºAsuntos!E11)-Datos!BD11)/Datos!BD11),((NºAsuntos!G11/NºAsuntos!E11)-Datos!BD11)/Datos!BD11," - ")</f>
        <v>1.909715158830249E-2</v>
      </c>
      <c r="I11" s="455">
        <f>IF(ISNUMBER(((NºAsuntos!I11/NºAsuntos!G11)-Datos!BE11)/Datos!BE11),((NºAsuntos!I11/NºAsuntos!G11)-Datos!BE11)/Datos!BE11," - ")</f>
        <v>-0.17649401481697741</v>
      </c>
      <c r="J11" s="460">
        <f>IF(ISNUMBER((('Resol  Asuntos'!D11/NºAsuntos!G11)-Datos!BF11)/Datos!BF11),(('Resol  Asuntos'!D11/NºAsuntos!G11)-Datos!BF11)/Datos!BF11," - ")</f>
        <v>-0.46725046669912829</v>
      </c>
      <c r="K11" s="461">
        <f>IF(ISNUMBER((((NºAsuntos!C11+NºAsuntos!E11)/NºAsuntos!G11)-Datos!BG11)/Datos!BG11),(((NºAsuntos!C11+NºAsuntos!E11)/NºAsuntos!G11)-Datos!BG11)/Datos!BG11," - ")</f>
        <v>-6.0870781070356553E-2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-9.3825026409296075E-2</v>
      </c>
      <c r="C13" s="854">
        <f>IF(ISNUMBER(
   IF(J_V="SI",(Datos!J13-Datos!T13)/Datos!T13,(Datos!J13+Datos!Z13-(Datos!T13+Datos!AH13))/(Datos!T13+Datos!AH13))
     ),IF(J_V="SI",(Datos!J13-Datos!T13)/Datos!T13,(Datos!J13+Datos!Z13-(Datos!T13+Datos!AH13))/(Datos!T13+Datos!AH13))," - ")</f>
        <v>1.4354066985645933E-3</v>
      </c>
      <c r="D13" s="854">
        <f>IF(ISNUMBER(
   IF(J_V="SI",(Datos!K13-Datos!U13)/Datos!U13,(Datos!K13+Datos!AA13-(Datos!U13+Datos!AI13))/(Datos!U13+Datos!AI13))
     ),IF(J_V="SI",(Datos!K13-Datos!U13)/Datos!U13,(Datos!K13+Datos!AA13-(Datos!U13+Datos!AI13))/(Datos!U13+Datos!AI13))," - ")</f>
        <v>5.5877013841615614E-2</v>
      </c>
      <c r="E13" s="854">
        <f>IF(ISNUMBER(
   IF(J_V="SI",(Datos!L13-Datos!V13)/Datos!V13,(Datos!L13+Datos!AB13-(Datos!V13+Datos!AJ13))/(Datos!V13+Datos!AJ13))
     ),IF(J_V="SI",(Datos!L13-Datos!V13)/Datos!V13,(Datos!L13+Datos!AB13-(Datos!V13+Datos!AJ13))/(Datos!V13+Datos!AJ13))," - ")</f>
        <v>-0.19234845273420942</v>
      </c>
      <c r="F13" s="855">
        <f>IF(ISNUMBER((Datos!M13-Datos!W13)/Datos!W13),(Datos!M13-Datos!W13)/Datos!W13," - ")</f>
        <v>7.8605769230769229E-2</v>
      </c>
      <c r="G13" s="856">
        <f>IF(ISNUMBER((Datos!N13-Datos!X13)/Datos!X13),(Datos!N13-Datos!X13)/Datos!X13," - ")</f>
        <v>0.16971868365180467</v>
      </c>
      <c r="H13" s="856">
        <f>IF(ISNUMBER(((NºAsuntos!G13/NºAsuntos!E13)-Datos!BD13)/Datos!BD13),((NºAsuntos!G13/NºAsuntos!E13)-Datos!BD13)/Datos!BD13," - ")</f>
        <v>5.4363573305769942E-2</v>
      </c>
      <c r="I13" s="856">
        <f>IF(ISNUMBER(((NºAsuntos!I13/NºAsuntos!G13)-Datos!BE13)/Datos!BE13),((NºAsuntos!I13/NºAsuntos!G13)-Datos!BE13)/Datos!BE13," - ")</f>
        <v>-0.23508937435118696</v>
      </c>
      <c r="J13" s="856">
        <f>IF(ISNUMBER((('Resol  Asuntos'!D13/NºAsuntos!G13)-Datos!BF13)/Datos!BF13),(('Resol  Asuntos'!D13/NºAsuntos!G13)-Datos!BF13)/Datos!BF13," - ")</f>
        <v>-0.4364742142478083</v>
      </c>
      <c r="K13" s="856">
        <f>IF(ISNUMBER((((NºAsuntos!C13+NºAsuntos!E13)/NºAsuntos!G13)-Datos!BG13)/Datos!BG13),(((NºAsuntos!C13+NºAsuntos!E13)/NºAsuntos!G13)-Datos!BG13)/Datos!BG13," - ")</f>
        <v>-8.6184559623401394E-2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0.15188762071992976</v>
      </c>
      <c r="C15" s="455">
        <f>IF(ISNUMBER(
   IF(D_I="SI",(Datos!J15-Datos!T15)/Datos!T15,(Datos!J15+Datos!AD15-(Datos!T15+Datos!AL15))/(Datos!T15+Datos!AL15))
     ),IF(D_I="SI",(Datos!J15-Datos!T15)/Datos!T15,(Datos!J15+Datos!AD15-(Datos!T15+Datos!AL15))/(Datos!T15+Datos!AL15))," - ")</f>
        <v>-5.4911059551430781E-2</v>
      </c>
      <c r="D15" s="455">
        <f>IF(ISNUMBER(
   IF(D_I="SI",(Datos!K15-Datos!U15)/Datos!U15,(Datos!K15+Datos!AE15-(Datos!U15+Datos!AM15))/(Datos!U15+Datos!AM15))
     ),IF(D_I="SI",(Datos!K15-Datos!U15)/Datos!U15,(Datos!K15+Datos!AE15-(Datos!U15+Datos!AM15))/(Datos!U15+Datos!AM15))," - ")</f>
        <v>3.4358618076170022E-2</v>
      </c>
      <c r="E15" s="455">
        <f>IF(ISNUMBER(
   IF(D_I="SI",(Datos!L15-Datos!V15)/Datos!V15,(Datos!L15+Datos!AF15-(Datos!V15+Datos!AN15))/(Datos!V15+Datos!AN15))
     ),IF(D_I="SI",(Datos!L15-Datos!V15)/Datos!V15,(Datos!L15+Datos!AF15-(Datos!V15+Datos!AN15))/(Datos!V15+Datos!AN15))," - ")</f>
        <v>-5.1829268292682924E-2</v>
      </c>
      <c r="F15" s="455">
        <f>IF(ISNUMBER((Datos!M15-Datos!W15)/Datos!W15),(Datos!M15-Datos!W15)/Datos!W15," - ")</f>
        <v>-0.12609819121447027</v>
      </c>
      <c r="G15" s="456">
        <f>IF(ISNUMBER((Datos!N15-Datos!X15)/Datos!X15),(Datos!N15-Datos!X15)/Datos!X15," - ")</f>
        <v>3.1403244058845717E-2</v>
      </c>
      <c r="H15" s="454">
        <f>IF(ISNUMBER(((NºAsuntos!G15/NºAsuntos!E15)-Datos!BD15)/Datos!BD15),((NºAsuntos!G15/NºAsuntos!E15)-Datos!BD15)/Datos!BD15," - ")</f>
        <v>9.445637739156125E-2</v>
      </c>
      <c r="I15" s="455">
        <f>IF(ISNUMBER(((NºAsuntos!I15/NºAsuntos!G15)-Datos!BE15)/Datos!BE15),((NºAsuntos!I15/NºAsuntos!G15)-Datos!BE15)/Datos!BE15," - ")</f>
        <v>-8.332495602845752E-2</v>
      </c>
      <c r="J15" s="460">
        <f>IF(ISNUMBER((('Resol  Asuntos'!D15/NºAsuntos!G15)-Datos!BF15)/Datos!BF15),(('Resol  Asuntos'!D15/NºAsuntos!G15)-Datos!BF15)/Datos!BF15," - ")</f>
        <v>-0.15512686459661157</v>
      </c>
      <c r="K15" s="461">
        <f>IF(ISNUMBER((((NºAsuntos!C15+NºAsuntos!E15)/NºAsuntos!G15)-Datos!BG15)/Datos!BG15),(((NºAsuntos!C15+NºAsuntos!E15)/NºAsuntos!G15)-Datos!BG15)/Datos!BG15," - ")</f>
        <v>-2.8514867679549888E-2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1.343558282208589</v>
      </c>
      <c r="C17" s="455">
        <f>IF(ISNUMBER(
   IF(D_I="SI",(Datos!J17-Datos!T17)/Datos!T17,(Datos!J17+Datos!AD17-(Datos!T17+Datos!AL17))/(Datos!T17+Datos!AL17))
     ),IF(D_I="SI",(Datos!J17-Datos!T17)/Datos!T17,(Datos!J17+Datos!AD17-(Datos!T17+Datos!AL17))/(Datos!T17+Datos!AL17))," - ")</f>
        <v>4.5372050816696916E-2</v>
      </c>
      <c r="D17" s="455">
        <f>IF(ISNUMBER(
   IF(D_I="SI",(Datos!K17-Datos!U17)/Datos!U17,(Datos!K17+Datos!AE17-(Datos!U17+Datos!AM17))/(Datos!U17+Datos!AM17))
     ),IF(D_I="SI",(Datos!K17-Datos!U17)/Datos!U17,(Datos!K17+Datos!AE17-(Datos!U17+Datos!AM17))/(Datos!U17+Datos!AM17))," - ")</f>
        <v>0.1882750845546787</v>
      </c>
      <c r="E17" s="455">
        <f>IF(ISNUMBER(
   IF(D_I="SI",(Datos!L17-Datos!V17)/Datos!V17,(Datos!L17+Datos!AF17-(Datos!V17+Datos!AN17))/(Datos!V17+Datos!AN17))
     ),IF(D_I="SI",(Datos!L17-Datos!V17)/Datos!V17,(Datos!L17+Datos!AF17-(Datos!V17+Datos!AN17))/(Datos!V17+Datos!AN17))," - ")</f>
        <v>0.30628272251308902</v>
      </c>
      <c r="F17" s="455">
        <f>IF(ISNUMBER((Datos!M17-Datos!W17)/Datos!W17),(Datos!M17-Datos!W17)/Datos!W17," - ")</f>
        <v>0</v>
      </c>
      <c r="G17" s="456">
        <f>IF(ISNUMBER((Datos!N17-Datos!X17)/Datos!X17),(Datos!N17-Datos!X17)/Datos!X17," - ")</f>
        <v>-0.10163339382940109</v>
      </c>
      <c r="H17" s="454">
        <f>IF(ISNUMBER(((NºAsuntos!G17/NºAsuntos!E17)-Datos!BD17)/Datos!BD17),((NºAsuntos!G17/NºAsuntos!E17)-Datos!BD17)/Datos!BD17," - ")</f>
        <v>0.13670064512088184</v>
      </c>
      <c r="I17" s="455">
        <f>IF(ISNUMBER(((NºAsuntos!I17/NºAsuntos!G17)-Datos!BE17)/Datos!BE17),((NºAsuntos!I17/NºAsuntos!G17)-Datos!BE17)/Datos!BE17," - ")</f>
        <v>9.9310033082647006E-2</v>
      </c>
      <c r="J17" s="460">
        <f>IF(ISNUMBER((('Resol  Asuntos'!D17/NºAsuntos!G17)-Datos!BF17)/Datos!BF17),(('Resol  Asuntos'!D17/NºAsuntos!G17)-Datos!BF17)/Datos!BF17," - ")</f>
        <v>-0.15844402277039851</v>
      </c>
      <c r="K17" s="461">
        <f>IF(ISNUMBER((((NºAsuntos!C17+NºAsuntos!E17)/NºAsuntos!G17)-Datos!BG17)/Datos!BG17),(((NºAsuntos!C17+NºAsuntos!E17)/NºAsuntos!G17)-Datos!BG17)/Datos!BG17," - ")</f>
        <v>2.0511358948781488E-2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0.17964842075175075</v>
      </c>
      <c r="C18" s="854">
        <f>IF(ISNUMBER(
   IF(Criterios!B14="SI",(Datos!J18-Datos!T18)/Datos!T18,(Datos!J18+Datos!AD18-(Datos!T18+Datos!AL18))/(Datos!T18+Datos!AL18))
     ),IF(Criterios!B14="SI",(Datos!J18-Datos!T18)/Datos!T18,(Datos!J18+Datos!AD18-(Datos!T18+Datos!AL18))/(Datos!T18+Datos!AL18))," - ")</f>
        <v>-4.8740997152587798E-2</v>
      </c>
      <c r="D18" s="854">
        <f>IF(ISNUMBER(
   IF(Criterios!B14="SI",(Datos!K18-Datos!U18)/Datos!U18,(Datos!K18+Datos!AE18-(Datos!U18+Datos!AM18))/(Datos!U18+Datos!AM18))
     ),IF(Criterios!B14="SI",(Datos!K18-Datos!U18)/Datos!U18,(Datos!K18+Datos!AE18-(Datos!U18+Datos!AM18))/(Datos!U18+Datos!AM18))," - ")</f>
        <v>4.2523923444976075E-2</v>
      </c>
      <c r="E18" s="854">
        <f>IF(ISNUMBER(
   IF(Criterios!B14="SI",(Datos!L18-Datos!V18)/Datos!V18,(Datos!L18+Datos!AF18-(Datos!V18+Datos!AN18))/(Datos!V18+Datos!AN18))
     ),IF(Criterios!B14="SI",(Datos!L18-Datos!V18)/Datos!V18,(Datos!L18+Datos!AF18-(Datos!V18+Datos!AN18))/(Datos!V18+Datos!AN18))," - ")</f>
        <v>-3.5255633632178339E-2</v>
      </c>
      <c r="F18" s="855">
        <f>IF(ISNUMBER((Datos!M18-Datos!W18)/Datos!W18),(Datos!M18-Datos!W18)/Datos!W18," - ")</f>
        <v>-0.12127236580516898</v>
      </c>
      <c r="G18" s="856">
        <f>IF(ISNUMBER((Datos!N18-Datos!X18)/Datos!X18),(Datos!N18-Datos!X18)/Datos!X18," - ")</f>
        <v>2.4831913939937247E-2</v>
      </c>
      <c r="H18" s="856">
        <f>IF(ISNUMBER(((NºAsuntos!G18/NºAsuntos!E18)-Datos!BD18)/Datos!BD18),((NºAsuntos!G18/NºAsuntos!E18)-Datos!BD18)/Datos!BD18," - ")</f>
        <v>9.5941189859312465E-2</v>
      </c>
      <c r="I18" s="856">
        <f>IF(ISNUMBER(((NºAsuntos!I18/NºAsuntos!G18)-Datos!BE18)/Datos!BE18),((NºAsuntos!I18/NºAsuntos!G18)-Datos!BE18)/Datos!BE18," - ")</f>
        <v>-7.4606975751822721E-2</v>
      </c>
      <c r="J18" s="856">
        <f>IF(ISNUMBER((('Resol  Asuntos'!D18/NºAsuntos!G18)-Datos!BF18)/Datos!BF18),(('Resol  Asuntos'!D18/NºAsuntos!G18)-Datos!BF18)/Datos!BF18," - ")</f>
        <v>-0.15711513718446593</v>
      </c>
      <c r="K18" s="856">
        <f>IF(ISNUMBER((((NºAsuntos!C18+NºAsuntos!E18)/NºAsuntos!G18)-Datos!BG18)/Datos!BG18),(((NºAsuntos!C18+NºAsuntos!E18)/NºAsuntos!G18)-Datos!BG18)/Datos!BG18," - ")</f>
        <v>-2.6001503903937993E-2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1.6082711085582999E-2</v>
      </c>
      <c r="C19" s="801">
        <f>IF(ISNUMBER(
   IF(J_V="SI",(Datos!J19-Datos!T19)/Datos!T19,(Datos!J19+Datos!Z19-(Datos!T19+Datos!AH19))/(Datos!T19+Datos!AH19))
     ),IF(J_V="SI",(Datos!J19-Datos!T19)/Datos!T19,(Datos!J19+Datos!Z19-(Datos!T19+Datos!AH19))/(Datos!T19+Datos!AH19))," - ")</f>
        <v>-2.4515607403771188E-2</v>
      </c>
      <c r="D19" s="801">
        <f>IF(ISNUMBER(
   IF(J_V="SI",(Datos!K19-Datos!U19)/Datos!U19,(Datos!K19+Datos!AA19-(Datos!U19+Datos!AI19))/(Datos!U19+Datos!AI19))
     ),IF(J_V="SI",(Datos!K19-Datos!U19)/Datos!U19,(Datos!K19+Datos!AA19-(Datos!U19+Datos!AI19))/(Datos!U19+Datos!AI19))," - ")</f>
        <v>4.9376965179923141E-2</v>
      </c>
      <c r="E19" s="801">
        <f>IF(ISNUMBER(
   IF(J_V="SI",(Datos!L19-Datos!V19)/Datos!V19,(Datos!L19+Datos!AB19-(Datos!V19+Datos!AJ19))/(Datos!V19+Datos!AJ19))
     ),IF(J_V="SI",(Datos!L19-Datos!V19)/Datos!V19,(Datos!L19+Datos!AB19-(Datos!V19+Datos!AJ19))/(Datos!V19+Datos!AJ19))," - ")</f>
        <v>-0.11905031091011871</v>
      </c>
      <c r="F19" s="802">
        <f>IF(ISNUMBER((Datos!M19-Datos!W19)/Datos!W19),(Datos!M19-Datos!W19)/Datos!W19," - ")</f>
        <v>1.3447828904731044E-2</v>
      </c>
      <c r="G19" s="803">
        <f>IF(ISNUMBER((Datos!N19-Datos!X19)/Datos!X19),(Datos!N19-Datos!X19)/Datos!X19," - ")</f>
        <v>8.3248622331603447E-2</v>
      </c>
      <c r="H19" s="804">
        <f>IF(ISNUMBER((Tasas!B19-Datos!BD19)/Datos!BD19),(Tasas!B19-Datos!BD19)/Datos!BD19," - ")</f>
        <v>7.5749620541883819E-2</v>
      </c>
      <c r="I19" s="805">
        <f>IF(ISNUMBER((Tasas!C19-Datos!BE19)/Datos!BE19),(Tasas!C19-Datos!BE19)/Datos!BE19," - ")</f>
        <v>-0.160502166217422</v>
      </c>
      <c r="J19" s="806">
        <f>IF(ISNUMBER((Tasas!D19-Datos!BF19)/Datos!BF19),(Tasas!D19-Datos!BF19)/Datos!BF19," - ")</f>
        <v>-0.37604106303979656</v>
      </c>
      <c r="K19" s="806">
        <f>IF(ISNUMBER((Tasas!E19-Datos!BG19)/Datos!BG19),(Tasas!E19-Datos!BG19)/Datos!BG19," - ")</f>
        <v>-5.747281871228737E-2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OqmpPkPD/yWVpeRrQxUcAUHtIr9M89XBP4wkf055ErAXnni+SK5CuR5tw9ipleh9kyIO3mWpg5R/TYQpNGcVCw==" saltValue="O0SrHYLo84DRArSHR0md1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GRANOLLERS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1.1140615147481259</v>
      </c>
      <c r="C9" s="442">
        <f>IF(ISNUMBER(NºAsuntos!I9/NºAsuntos!G9),NºAsuntos!I9/NºAsuntos!G9," - ")</f>
        <v>0.42720583611093643</v>
      </c>
      <c r="D9" s="443">
        <f>IF(ISNUMBER('Resol  Asuntos'!D9/NºAsuntos!G9),'Resol  Asuntos'!D9/NºAsuntos!G9," - ")</f>
        <v>0.23728067417143575</v>
      </c>
      <c r="E9" s="444">
        <f>IF(ISNUMBER((NºAsuntos!C9+NºAsuntos!E9)/NºAsuntos!G9),(NºAsuntos!C9+NºAsuntos!E9)/NºAsuntos!G9," - ")</f>
        <v>1.4240613797874349</v>
      </c>
      <c r="G9" s="462"/>
    </row>
    <row r="10" spans="1:7" ht="21">
      <c r="A10" s="401" t="str">
        <f>Datos!A10</f>
        <v>Jdos. Violencia contra la mujer/Secc Viol. TI.</v>
      </c>
      <c r="B10" s="441">
        <f>IF(ISNUMBER(NºAsuntos!G10/NºAsuntos!E10),NºAsuntos!G10/NºAsuntos!E10," - ")</f>
        <v>1.0886699507389161</v>
      </c>
      <c r="C10" s="442">
        <f>IF(ISNUMBER(NºAsuntos!I10/NºAsuntos!G10),NºAsuntos!I10/NºAsuntos!G10," - ")</f>
        <v>0.75565610859728505</v>
      </c>
      <c r="D10" s="443">
        <f>IF(ISNUMBER('Resol  Asuntos'!D10/NºAsuntos!G10),'Resol  Asuntos'!D10/NºAsuntos!G10," - ")</f>
        <v>0.33936651583710409</v>
      </c>
      <c r="E10" s="444">
        <f>IF(ISNUMBER((NºAsuntos!C10+NºAsuntos!E10)/NºAsuntos!G10),(NºAsuntos!C10+NºAsuntos!E10)/NºAsuntos!G10," - ")</f>
        <v>1.755656108597285</v>
      </c>
      <c r="G10" s="462"/>
    </row>
    <row r="11" spans="1:7">
      <c r="A11" s="401" t="str">
        <f>Datos!A11</f>
        <v xml:space="preserve">Jdos. Familia                                   </v>
      </c>
      <c r="B11" s="441">
        <f>IF(ISNUMBER(NºAsuntos!G11/NºAsuntos!E11),NºAsuntos!G11/NºAsuntos!E11," - ")</f>
        <v>1.0983245149911816</v>
      </c>
      <c r="C11" s="442">
        <f>IF(ISNUMBER(NºAsuntos!I11/NºAsuntos!G11),NºAsuntos!I11/NºAsuntos!G11," - ")</f>
        <v>0.26535527900441591</v>
      </c>
      <c r="D11" s="443">
        <f>IF(ISNUMBER('Resol  Asuntos'!D11/NºAsuntos!G11),'Resol  Asuntos'!D11/NºAsuntos!G11," - ")</f>
        <v>0.25652348454435969</v>
      </c>
      <c r="E11" s="444">
        <f>IF(ISNUMBER((NºAsuntos!C11+NºAsuntos!E11)/NºAsuntos!G11),(NºAsuntos!C11+NºAsuntos!E11)/NºAsuntos!G11," - ")</f>
        <v>1.2637494981934967</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1.1116220735785953</v>
      </c>
      <c r="C13" s="858">
        <f>IF(ISNUMBER(NºAsuntos!I13/NºAsuntos!G13),NºAsuntos!I13/NºAsuntos!G13," - ")</f>
        <v>0.40944501155106644</v>
      </c>
      <c r="D13" s="859">
        <f>IF(ISNUMBER('Resol  Asuntos'!D13/NºAsuntos!G13),'Resol  Asuntos'!D13/NºAsuntos!G13," - ")</f>
        <v>0.24106807070327191</v>
      </c>
      <c r="E13" s="860">
        <f>IF(ISNUMBER((NºAsuntos!C13+NºAsuntos!E13)/NºAsuntos!G13),(NºAsuntos!C13+NºAsuntos!E13)/NºAsuntos!G13," - ")</f>
        <v>1.4065438134637083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1.0309077174870955</v>
      </c>
      <c r="C15" s="442">
        <f>IF(ISNUMBER(NºAsuntos!I15/NºAsuntos!G15),NºAsuntos!I15/NºAsuntos!G15," - ")</f>
        <v>0.45576112841179706</v>
      </c>
      <c r="D15" s="443">
        <f>IF(ISNUMBER('Resol  Asuntos'!D15/NºAsuntos!G15),'Resol  Asuntos'!D15/NºAsuntos!G15," - ")</f>
        <v>0.10325456432802101</v>
      </c>
      <c r="E15" s="444">
        <f>IF(ISNUMBER((NºAsuntos!C15+NºAsuntos!E15)/NºAsuntos!G15),(NºAsuntos!C15+NºAsuntos!E15)/NºAsuntos!G15," - ")</f>
        <v>1.4506930451242597</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0.91493055555555558</v>
      </c>
      <c r="C17" s="442">
        <f>IF(ISNUMBER(NºAsuntos!I17/NºAsuntos!G17),NºAsuntos!I17/NºAsuntos!G17," - ")</f>
        <v>0.47343453510436434</v>
      </c>
      <c r="D17" s="443">
        <f>IF(ISNUMBER('Resol  Asuntos'!D17/NºAsuntos!G17),'Resol  Asuntos'!D17/NºAsuntos!G17," - ")</f>
        <v>7.3055028462998106E-2</v>
      </c>
      <c r="E17" s="444">
        <f>IF(ISNUMBER((NºAsuntos!C17+NºAsuntos!E17)/NºAsuntos!G17),(NºAsuntos!C17+NºAsuntos!E17)/NºAsuntos!G17," - ")</f>
        <v>1.4554079696394686</v>
      </c>
      <c r="G17" s="462"/>
    </row>
    <row r="18" spans="1:7" ht="14.25" thickTop="1" thickBot="1">
      <c r="A18" s="847" t="str">
        <f>Datos!A18</f>
        <v>TOTAL</v>
      </c>
      <c r="B18" s="857">
        <f>IF(ISNUMBER(NºAsuntos!G18/NºAsuntos!E18),NºAsuntos!G18/NºAsuntos!E18," - ")</f>
        <v>1.0230660875689634</v>
      </c>
      <c r="C18" s="858">
        <f>IF(ISNUMBER(NºAsuntos!I18/NºAsuntos!G18),NºAsuntos!I18/NºAsuntos!G18," - ")</f>
        <v>0.45682978601342433</v>
      </c>
      <c r="D18" s="861">
        <f>IF(ISNUMBER('Resol  Asuntos'!D18/NºAsuntos!G18),'Resol  Asuntos'!D18/NºAsuntos!G18," - ")</f>
        <v>0.10142848947277838</v>
      </c>
      <c r="E18" s="860">
        <f>IF(ISNUMBER((NºAsuntos!C18+NºAsuntos!E18)/NºAsuntos!G18),(NºAsuntos!C18+NºAsuntos!E18)/NºAsuntos!G18," - ")</f>
        <v>1.4509781423899948</v>
      </c>
      <c r="G18" s="462"/>
    </row>
    <row r="19" spans="1:7" ht="15.75" customHeight="1" thickTop="1" thickBot="1">
      <c r="A19" s="792" t="str">
        <f>Datos!A19</f>
        <v>TOTAL JURISDICCIONES</v>
      </c>
      <c r="B19" s="807">
        <f>IF(ISNUMBER(NºAsuntos!G19/NºAsuntos!E19),NºAsuntos!G19/NºAsuntos!E19," - ")</f>
        <v>1.0669587354212302</v>
      </c>
      <c r="C19" s="808">
        <f>IF(ISNUMBER(NºAsuntos!I19/NºAsuntos!G19),NºAsuntos!I19/NºAsuntos!G19," - ")</f>
        <v>0.43236044834091664</v>
      </c>
      <c r="D19" s="809">
        <f>IF(ISNUMBER('Resol  Asuntos'!D19/NºAsuntos!G19),'Resol  Asuntos'!D19/NºAsuntos!G19," - ")</f>
        <v>0.17353789812451448</v>
      </c>
      <c r="E19" s="810">
        <f>IF(ISNUMBER((NºAsuntos!C19+NºAsuntos!E19)/NºAsuntos!G19),(NºAsuntos!C19+NºAsuntos!E19)/NºAsuntos!G19," - ")</f>
        <v>1.4280324048385307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69rvAVoNT2fYEuhprNRenwO2QvcA4QJ6IL/yzsqxn/7HY1LmnYvVqN7HzmLZR2pjC0kZh+ylCXGIs4D9EJjY1w==" saltValue="Fdz2wWemmAvLQHpZqBE+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GRANOLLERS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8</v>
      </c>
      <c r="B9" s="176" t="s">
        <v>246</v>
      </c>
      <c r="C9" s="159" t="str">
        <f>Datos!A9</f>
        <v xml:space="preserve">Jdos. 1ª Instancia   </v>
      </c>
      <c r="D9" s="159"/>
      <c r="E9" s="1024">
        <f>IF(ISNUMBER(Datos!AQ9),Datos!AQ9," - ")</f>
        <v>8</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6781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6465</v>
      </c>
      <c r="Y9" s="333">
        <f>SUM(W9:X9)</f>
        <v>6465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17595</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3773</v>
      </c>
      <c r="AJ9" s="228" t="str">
        <f>IF(ISNUMBER(Datos!BW9),Datos!BW9," - ")</f>
        <v xml:space="preserve"> - </v>
      </c>
      <c r="AK9" s="227" t="str">
        <f>IF(ISNUMBER(Datos!BX9),Datos!BX9," - ")</f>
        <v xml:space="preserve"> - </v>
      </c>
      <c r="AL9" s="242">
        <f>IF(ISNUMBER(NºAsuntos!G9/NºAsuntos!E9),NºAsuntos!G9/NºAsuntos!E9," - ")</f>
        <v>1.1140615147481259</v>
      </c>
      <c r="AM9" s="259">
        <f>IF(ISNUMBER(((NºAsuntos!I9/NºAsuntos!G9)*11)/factor_trimestre),((NºAsuntos!I9/NºAsuntos!G9)*11)/factor_trimestre," - ")</f>
        <v>4.6992641972203009</v>
      </c>
      <c r="AN9" s="243">
        <f>IF(ISNUMBER('Resol  Asuntos'!D9/NºAsuntos!G9),'Resol  Asuntos'!D9/NºAsuntos!G9," - ")</f>
        <v>0.23728067417143575</v>
      </c>
      <c r="AO9" s="244">
        <f>IF(ISNUMBER((NºAsuntos!C9+NºAsuntos!E9)/NºAsuntos!G9),(NºAsuntos!C9+NºAsuntos!E9)/NºAsuntos!G9," - ")</f>
        <v>1.4240613797874349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185</v>
      </c>
      <c r="G10" s="332">
        <f>IF(ISNUMBER(Datos!I10),Datos!I10," - ")</f>
        <v>185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221</v>
      </c>
      <c r="X10" s="225">
        <f>IF(ISNUMBER(Datos!Q10),Datos!Q10," - ")</f>
        <v>57</v>
      </c>
      <c r="Y10" s="333">
        <f t="shared" ref="Y10:Y12" si="0">SUM(W10:X10)</f>
        <v>278</v>
      </c>
      <c r="Z10" s="334" t="str">
        <f>IF(ISNUMBER(Datos!CC10),Datos!CC10," - ")</f>
        <v xml:space="preserve"> - </v>
      </c>
      <c r="AA10" s="331">
        <f>IF(ISNUMBER(Datos!L10),Datos!L10,"-")</f>
        <v>167</v>
      </c>
      <c r="AB10" s="333">
        <f>IF(ISNUMBER(Datos!R10),Datos!R10," - ")</f>
        <v>116</v>
      </c>
      <c r="AC10" s="333">
        <f t="shared" ref="AC10:AC12" si="1">IF(ISNUMBER(AA10+AB10),AA10+AB10," - ")</f>
        <v>283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75</v>
      </c>
      <c r="AJ10" s="230" t="str">
        <f>IF(ISNUMBER(Datos!BW10),Datos!BW10," - ")</f>
        <v xml:space="preserve"> - </v>
      </c>
      <c r="AK10" s="231" t="str">
        <f>IF(ISNUMBER(Datos!BX10),Datos!BX10," - ")</f>
        <v xml:space="preserve"> - </v>
      </c>
      <c r="AL10" s="242">
        <f>IF(ISNUMBER(NºAsuntos!G10/NºAsuntos!E10),NºAsuntos!G10/NºAsuntos!E10," - ")</f>
        <v>1.0886699507389161</v>
      </c>
      <c r="AM10" s="259">
        <f>IF(ISNUMBER(((NºAsuntos!I10/NºAsuntos!G10)*11)/factor_trimestre),((NºAsuntos!I10/NºAsuntos!G10)*11)/factor_trimestre," - ")</f>
        <v>8.3122171945701346</v>
      </c>
      <c r="AN10" s="243">
        <f>IF(ISNUMBER('Resol  Asuntos'!D10/NºAsuntos!G10),'Resol  Asuntos'!D10/NºAsuntos!G10," - ")</f>
        <v>0.33936651583710409</v>
      </c>
      <c r="AO10" s="244">
        <f>IF(ISNUMBER((NºAsuntos!C10+NºAsuntos!E10)/NºAsuntos!G10),(NºAsuntos!C10+NºAsuntos!E10)/NºAsuntos!G10," - ")</f>
        <v>1.755656108597285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363</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239</v>
      </c>
      <c r="Y11" s="333">
        <f t="shared" si="0"/>
        <v>239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927</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639</v>
      </c>
      <c r="AJ11" s="230" t="str">
        <f>IF(ISNUMBER(Datos!BW11),Datos!BW11," - ")</f>
        <v xml:space="preserve"> - </v>
      </c>
      <c r="AK11" s="231" t="str">
        <f>IF(ISNUMBER(Datos!BX11),Datos!BX11," - ")</f>
        <v xml:space="preserve"> - </v>
      </c>
      <c r="AL11" s="242">
        <f>IF(ISNUMBER(NºAsuntos!G11/NºAsuntos!E11),NºAsuntos!G11/NºAsuntos!E11," - ")</f>
        <v>1.0983245149911816</v>
      </c>
      <c r="AM11" s="259">
        <f>IF(ISNUMBER(((NºAsuntos!I11/NºAsuntos!G11)*11)/factor_trimestre),((NºAsuntos!I11/NºAsuntos!G11)*11)/factor_trimestre," - ")</f>
        <v>2.9189080690485749</v>
      </c>
      <c r="AN11" s="243">
        <f>IF(ISNUMBER('Resol  Asuntos'!D11/NºAsuntos!G11),'Resol  Asuntos'!D11/NºAsuntos!G11," - ")</f>
        <v>0.25652348454435969</v>
      </c>
      <c r="AO11" s="244">
        <f>IF(ISNUMBER((NºAsuntos!C11+NºAsuntos!E11)/NºAsuntos!G11),(NºAsuntos!C11+NºAsuntos!E11)/NºAsuntos!G11," - ")</f>
        <v>1.2637494981934967</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11</v>
      </c>
      <c r="F13" s="864">
        <f t="shared" si="3"/>
        <v>185</v>
      </c>
      <c r="G13" s="865">
        <f t="shared" si="3"/>
        <v>185</v>
      </c>
      <c r="H13" s="864">
        <f t="shared" si="3"/>
        <v>0</v>
      </c>
      <c r="I13" s="866">
        <f t="shared" si="3"/>
        <v>0</v>
      </c>
      <c r="J13" s="866">
        <f t="shared" si="3"/>
        <v>0</v>
      </c>
      <c r="K13" s="866">
        <f t="shared" si="3"/>
        <v>0</v>
      </c>
      <c r="L13" s="866">
        <f t="shared" si="3"/>
        <v>7187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221</v>
      </c>
      <c r="X13" s="866">
        <f t="shared" si="4"/>
        <v>6761</v>
      </c>
      <c r="Y13" s="867">
        <f t="shared" si="4"/>
        <v>6982</v>
      </c>
      <c r="Z13" s="867">
        <f t="shared" si="4"/>
        <v>0</v>
      </c>
      <c r="AA13" s="867">
        <f t="shared" si="4"/>
        <v>167</v>
      </c>
      <c r="AB13" s="867">
        <f t="shared" si="4"/>
        <v>18638</v>
      </c>
      <c r="AC13" s="867">
        <f t="shared" si="4"/>
        <v>283</v>
      </c>
      <c r="AD13" s="867">
        <f t="shared" si="4"/>
        <v>0</v>
      </c>
      <c r="AE13" s="871">
        <f t="shared" si="4"/>
        <v>0</v>
      </c>
      <c r="AF13" s="864">
        <f t="shared" si="4"/>
        <v>0</v>
      </c>
      <c r="AG13" s="872">
        <f t="shared" si="4"/>
        <v>0</v>
      </c>
      <c r="AH13" s="869">
        <f t="shared" si="4"/>
        <v>0</v>
      </c>
      <c r="AI13" s="864">
        <f t="shared" si="4"/>
        <v>4487</v>
      </c>
      <c r="AJ13" s="866">
        <f t="shared" si="4"/>
        <v>0</v>
      </c>
      <c r="AK13" s="869">
        <f>SUBTOTAL(9,AK9:AK12)</f>
        <v>0</v>
      </c>
      <c r="AL13" s="873">
        <f>IF(ISNUMBER(NºAsuntos!G13/NºAsuntos!E13),NºAsuntos!G13/NºAsuntos!E13," - ")</f>
        <v>1.1116220735785953</v>
      </c>
      <c r="AM13" s="873">
        <f>IF(ISNUMBER(((NºAsuntos!I13/NºAsuntos!G13)*11)/factor_trimestre),((NºAsuntos!I13/NºAsuntos!G13)*11)/factor_trimestre," - ")</f>
        <v>4.5038951270617309</v>
      </c>
      <c r="AN13" s="874">
        <f>IF(ISNUMBER('Resol  Asuntos'!D13/NºAsuntos!G13),'Resol  Asuntos'!D13/NºAsuntos!G13," - ")</f>
        <v>0.24106807070327191</v>
      </c>
      <c r="AO13" s="875">
        <f>IF(ISNUMBER((NºAsuntos!C13+NºAsuntos!E13)/NºAsuntos!G13),(NºAsuntos!C13+NºAsuntos!E13)/NºAsuntos!G13," - ")</f>
        <v>1.4065438134637083</v>
      </c>
      <c r="AP13" s="876" t="str">
        <f t="shared" si="2"/>
        <v xml:space="preserve"> - </v>
      </c>
      <c r="AQ13" s="876">
        <f>IF(ISNUMBER((H13-W13+K13)/(F13)),(H13-W13+K13)/(F13)," - ")</f>
        <v>-1.1945945945945946</v>
      </c>
      <c r="AR13" s="877">
        <f>IF(ISNUMBER((Datos!P13-Datos!Q13)/(Datos!R13-Datos!P13+Datos!Q13)),(Datos!P13-Datos!Q13)/(Datos!R13-Datos!P13+Datos!Q13)," - ")</f>
        <v>2.3391170656709863E-2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7955</v>
      </c>
      <c r="G15" s="332">
        <f>IF(ISNUMBER(IF(D_I="SI",Datos!I15,Datos!I15+Datos!AC15)),IF(D_I="SI",Datos!I15,Datos!I15+Datos!AC15)," - ")</f>
        <v>7872</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962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16377</v>
      </c>
      <c r="X15" s="225">
        <f>IF(ISNUMBER(Datos!Q15),Datos!Q15," - ")</f>
        <v>834</v>
      </c>
      <c r="Y15" s="333">
        <f>SUM(W15)</f>
        <v>16377</v>
      </c>
      <c r="Z15" s="334" t="str">
        <f>IF(ISNUMBER(Datos!CC15),Datos!CC15," - ")</f>
        <v xml:space="preserve"> - </v>
      </c>
      <c r="AA15" s="331">
        <f>IF(ISNUMBER(IF(D_I="SI",Datos!L15,Datos!L15+Datos!AF15)),IF(D_I="SI",Datos!L15,Datos!L15+Datos!AF15)," - ")</f>
        <v>7464</v>
      </c>
      <c r="AB15" s="333">
        <f>IF(ISNUMBER(Datos!R15),Datos!R15," - ")</f>
        <v>601</v>
      </c>
      <c r="AC15" s="333">
        <f t="shared" ref="AC15:AC17" si="6">IF(ISNUMBER(AA15+AB15),AA15+AB15," - ")</f>
        <v>8065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1691</v>
      </c>
      <c r="AJ15" s="230" t="str">
        <f>IF(ISNUMBER(Datos!BW15),Datos!BW15," - ")</f>
        <v xml:space="preserve"> - </v>
      </c>
      <c r="AK15" s="231" t="str">
        <f>IF(ISNUMBER(Datos!BX15),Datos!BX15," - ")</f>
        <v xml:space="preserve"> - </v>
      </c>
      <c r="AL15" s="242">
        <f>IF(ISNUMBER(NºAsuntos!G15/NºAsuntos!E15),NºAsuntos!G15/NºAsuntos!E15," - ")</f>
        <v>1.0309077174870955</v>
      </c>
      <c r="AM15" s="259">
        <f>IF(ISNUMBER(((NºAsuntos!I15/NºAsuntos!G15)*11)/factor_trimestre),((NºAsuntos!I15/NºAsuntos!G15)*11)/factor_trimestre," - ")</f>
        <v>5.0133724125297672</v>
      </c>
      <c r="AN15" s="243">
        <f>IF(ISNUMBER('Resol  Asuntos'!D15/NºAsuntos!G15),'Resol  Asuntos'!D15/NºAsuntos!G15," - ")</f>
        <v>0.10325456432802101</v>
      </c>
      <c r="AO15" s="244">
        <f>IF(ISNUMBER((NºAsuntos!C15+NºAsuntos!E15)/NºAsuntos!G15),(NºAsuntos!C15+NºAsuntos!E15)/NºAsuntos!G15," - ")</f>
        <v>1.4506930451242597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382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1054</v>
      </c>
      <c r="X17" s="225">
        <f>IF(ISNUMBER(Datos!Q17),Datos!Q17," - ")</f>
        <v>5</v>
      </c>
      <c r="Y17" s="333">
        <f t="shared" si="7"/>
        <v>1059</v>
      </c>
      <c r="Z17" s="334" t="str">
        <f>IF(ISNUMBER(Datos!CC17),Datos!CC17," - ")</f>
        <v xml:space="preserve"> - </v>
      </c>
      <c r="AA17" s="331">
        <f>IF(ISNUMBER(Datos!L17),Datos!L17,"-")</f>
        <v>499</v>
      </c>
      <c r="AB17" s="333">
        <f>IF(ISNUMBER(Datos!R17),Datos!R17," - ")</f>
        <v>9</v>
      </c>
      <c r="AC17" s="333">
        <f t="shared" si="6"/>
        <v>508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77</v>
      </c>
      <c r="AJ17" s="230" t="str">
        <f>IF(ISNUMBER(Datos!BW17),Datos!BW17," - ")</f>
        <v xml:space="preserve"> - </v>
      </c>
      <c r="AK17" s="231" t="str">
        <f>IF(ISNUMBER(Datos!BX17),Datos!BX17," - ")</f>
        <v xml:space="preserve"> - </v>
      </c>
      <c r="AL17" s="242">
        <f>IF(ISNUMBER(NºAsuntos!G17/NºAsuntos!E17),NºAsuntos!G17/NºAsuntos!E17," - ")</f>
        <v>0.91493055555555558</v>
      </c>
      <c r="AM17" s="259">
        <f>IF(ISNUMBER(((NºAsuntos!I17/NºAsuntos!G17)*11)/factor_trimestre),((NºAsuntos!I17/NºAsuntos!G17)*11)/factor_trimestre," - ")</f>
        <v>5.2077798861480078</v>
      </c>
      <c r="AN17" s="243">
        <f>IF(ISNUMBER('Resol  Asuntos'!D17/NºAsuntos!G17),'Resol  Asuntos'!D17/NºAsuntos!G17," - ")</f>
        <v>7.3055028462998106E-2</v>
      </c>
      <c r="AO17" s="244">
        <f>IF(ISNUMBER((NºAsuntos!C17+NºAsuntos!E17)/NºAsuntos!G17),(NºAsuntos!C17+NºAsuntos!E17)/NºAsuntos!G17," - ")</f>
        <v>1.4554079696394686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7955</v>
      </c>
      <c r="G18" s="865">
        <f>SUBTOTAL(9,G15:G17)</f>
        <v>8254</v>
      </c>
      <c r="H18" s="864">
        <f t="shared" ref="H18:O18" si="10">SUBTOTAL(9,H14:H17)</f>
        <v>0</v>
      </c>
      <c r="I18" s="866">
        <f t="shared" si="10"/>
        <v>0</v>
      </c>
      <c r="J18" s="866">
        <f t="shared" si="10"/>
        <v>0</v>
      </c>
      <c r="K18" s="866">
        <f t="shared" si="10"/>
        <v>0</v>
      </c>
      <c r="L18" s="866">
        <f t="shared" si="10"/>
        <v>967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17431</v>
      </c>
      <c r="X18" s="866">
        <f t="shared" si="11"/>
        <v>839</v>
      </c>
      <c r="Y18" s="867">
        <f t="shared" si="11"/>
        <v>17436</v>
      </c>
      <c r="Z18" s="867">
        <f t="shared" si="11"/>
        <v>0</v>
      </c>
      <c r="AA18" s="867">
        <f t="shared" si="11"/>
        <v>7963</v>
      </c>
      <c r="AB18" s="867">
        <f t="shared" si="11"/>
        <v>610</v>
      </c>
      <c r="AC18" s="867">
        <f t="shared" si="11"/>
        <v>8573</v>
      </c>
      <c r="AD18" s="867">
        <f t="shared" si="11"/>
        <v>0</v>
      </c>
      <c r="AE18" s="871">
        <f t="shared" si="11"/>
        <v>0</v>
      </c>
      <c r="AF18" s="864">
        <f t="shared" si="11"/>
        <v>0</v>
      </c>
      <c r="AG18" s="872">
        <f t="shared" si="11"/>
        <v>0</v>
      </c>
      <c r="AH18" s="869">
        <f t="shared" si="11"/>
        <v>0</v>
      </c>
      <c r="AI18" s="864">
        <f t="shared" si="11"/>
        <v>1768</v>
      </c>
      <c r="AJ18" s="866">
        <f t="shared" si="11"/>
        <v>0</v>
      </c>
      <c r="AK18" s="869">
        <f t="shared" si="11"/>
        <v>0</v>
      </c>
      <c r="AL18" s="873">
        <f>IF(ISNUMBER(NºAsuntos!G18/NºAsuntos!E18),NºAsuntos!G18/NºAsuntos!E18," - ")</f>
        <v>1.0230660875689634</v>
      </c>
      <c r="AM18" s="873">
        <f>IF(ISNUMBER(((NºAsuntos!I18/NºAsuntos!G18)*11)/factor_trimestre),((NºAsuntos!I18/NºAsuntos!G18)*11)/factor_trimestre," - ")</f>
        <v>5.0251276461476673</v>
      </c>
      <c r="AN18" s="874">
        <f>IF(ISNUMBER('Resol  Asuntos'!D18/NºAsuntos!G18),'Resol  Asuntos'!D18/NºAsuntos!G18," - ")</f>
        <v>0.10142848947277838</v>
      </c>
      <c r="AO18" s="875">
        <f>IF(ISNUMBER((NºAsuntos!C18+NºAsuntos!E18)/NºAsuntos!G18),(NºAsuntos!C18+NºAsuntos!E18)/NºAsuntos!G18," - ")</f>
        <v>1.4509781423899948</v>
      </c>
      <c r="AP18" s="876" t="str">
        <f t="shared" si="2"/>
        <v xml:space="preserve"> - </v>
      </c>
      <c r="AQ18" s="876">
        <f>IF(ISNUMBER((H18-W18+K18)/(F18)),(H18-W18+K18)/(F18)," - ")</f>
        <v>-2.1912005028284098</v>
      </c>
      <c r="AR18" s="877">
        <f>IF(ISNUMBER((Datos!P18-Datos!Q18)/(Datos!R18-Datos!P18+Datos!Q18)),(Datos!P18-Datos!Q18)/(Datos!R18-Datos!P18+Datos!Q18)," - ")</f>
        <v>0.26556016597510373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8140</v>
      </c>
      <c r="G19" s="820">
        <f t="shared" si="13"/>
        <v>8439</v>
      </c>
      <c r="H19" s="819">
        <f t="shared" si="13"/>
        <v>0</v>
      </c>
      <c r="I19" s="821">
        <f t="shared" si="13"/>
        <v>0</v>
      </c>
      <c r="J19" s="821">
        <f t="shared" si="13"/>
        <v>0</v>
      </c>
      <c r="K19" s="880">
        <f t="shared" si="13"/>
        <v>0</v>
      </c>
      <c r="L19" s="821">
        <f t="shared" si="13"/>
        <v>8154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17652</v>
      </c>
      <c r="X19" s="820">
        <f t="shared" si="14"/>
        <v>7600</v>
      </c>
      <c r="Y19" s="827">
        <f t="shared" si="14"/>
        <v>24418</v>
      </c>
      <c r="Z19" s="827">
        <f t="shared" si="14"/>
        <v>0</v>
      </c>
      <c r="AA19" s="827">
        <f t="shared" si="14"/>
        <v>8130</v>
      </c>
      <c r="AB19" s="827">
        <f t="shared" si="14"/>
        <v>19248</v>
      </c>
      <c r="AC19" s="827">
        <f t="shared" si="14"/>
        <v>8856</v>
      </c>
      <c r="AD19" s="827">
        <f t="shared" si="14"/>
        <v>0</v>
      </c>
      <c r="AE19" s="829">
        <f t="shared" si="14"/>
        <v>0</v>
      </c>
      <c r="AF19" s="830">
        <f t="shared" si="14"/>
        <v>0</v>
      </c>
      <c r="AG19" s="831">
        <f t="shared" si="14"/>
        <v>0</v>
      </c>
      <c r="AH19" s="829">
        <f t="shared" si="14"/>
        <v>0</v>
      </c>
      <c r="AI19" s="819">
        <f t="shared" si="14"/>
        <v>6255</v>
      </c>
      <c r="AJ19" s="819">
        <f t="shared" si="14"/>
        <v>0</v>
      </c>
      <c r="AK19" s="829">
        <f t="shared" si="14"/>
        <v>0</v>
      </c>
      <c r="AL19" s="883">
        <f>IF(ISNUMBER(NºAsuntos!G19/NºAsuntos!E19),NºAsuntos!G19/NºAsuntos!E19," - ")</f>
        <v>1.0669587354212302</v>
      </c>
      <c r="AM19" s="884">
        <f>IF(ISNUMBER(((NºAsuntos!I19/NºAsuntos!G19)*11)/factor_trimestre),((NºAsuntos!I19/NºAsuntos!G19)*11)/factor_trimestre," - ")</f>
        <v>4.7559649317500829</v>
      </c>
      <c r="AN19" s="884">
        <f>IF(ISNUMBER('Resol  Asuntos'!D19/NºAsuntos!G19),'Resol  Asuntos'!D19/NºAsuntos!G19," - ")</f>
        <v>0.17353789812451448</v>
      </c>
      <c r="AO19" s="885">
        <f>IF(ISNUMBER((NºAsuntos!C19+NºAsuntos!E19)/NºAsuntos!G19),(NºAsuntos!C19+NºAsuntos!E19)/NºAsuntos!G19," - ")</f>
        <v>1.4280324048385307</v>
      </c>
      <c r="AP19" s="886" t="str">
        <f t="shared" si="2"/>
        <v xml:space="preserve"> - </v>
      </c>
      <c r="AQ19" s="887">
        <f>IF(OR(ISNUMBER(FIND("01",Criterios!A8,1)),ISNUMBER(FIND("02",Criterios!A8,1)),ISNUMBER(FIND("03",Criterios!A8,1)),ISNUMBER(FIND("04",Criterios!A8,1))),(I19-W19+K19)/(F19-K19),(H19-W19+K19)/(F19-K19))</f>
        <v>-2.1685503685503686</v>
      </c>
      <c r="AR19" s="888">
        <f>IF(ISNUMBER((Datos!P19-Datos!Q19)/(Datos!R19-Datos!P19+Datos!Q19)),(Datos!P19-Datos!Q19)/(Datos!R19-Datos!P19+Datos!Q19)," - ")</f>
        <v>2.9635177062158981E-2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3375.6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3.844187531556932</v>
      </c>
      <c r="F21" s="251">
        <f>IF(ISNUMBER(STDEV(F8:F18)),STDEV(F8:F18),"-")</f>
        <v>4486.0115916033919</v>
      </c>
      <c r="G21" s="252">
        <f>IF(ISNUMBER(STDEV(G8:G18)),STDEV(G8:G18),"-")</f>
        <v>4281.8774270172662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8999.7222846041204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1751.9855810452541</v>
      </c>
      <c r="AJ21" s="251">
        <f t="shared" si="18"/>
        <v>0</v>
      </c>
      <c r="AK21" s="253">
        <f t="shared" si="18"/>
        <v>0</v>
      </c>
      <c r="AL21" s="248">
        <f t="shared" si="18"/>
        <v>7.1790197188093943E-2</v>
      </c>
      <c r="AM21" s="249">
        <f t="shared" si="18"/>
        <v>1.6132836219534781</v>
      </c>
      <c r="AN21" s="249">
        <f t="shared" si="18"/>
        <v>0.10046222525674478</v>
      </c>
      <c r="AO21" s="250">
        <f t="shared" si="18"/>
        <v>0.14733252214641746</v>
      </c>
      <c r="AP21" s="290" t="str">
        <f t="shared" si="18"/>
        <v>-</v>
      </c>
      <c r="AQ21" s="291">
        <f t="shared" si="18"/>
        <v>0.70470679588270879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83xSVIvCI9i2FyvcpC/EmugCet2gQY8HHFM2bWWz65KPb5wfkv4Pzx38yE317/FDWTJ6cBICVKQxkkuQuc9C6g==" saltValue="AypcuU17e7usbEivAI2UN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GRANOLLERS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8.7946943483275669E-2</v>
      </c>
      <c r="I9" s="349">
        <f>IF(ISNUMBER((Tasas!C9-Datos!BE9)/Datos!BE9),(Tasas!C9-Datos!BE9)/Datos!BE9," - ")</f>
        <v>-0.24745224473875663</v>
      </c>
      <c r="J9" s="348">
        <f>IF(ISNUMBER((Tasas!D9-Datos!BF9)/Datos!BF9),(Tasas!D9-Datos!BF9)/Datos!BF9," - ")</f>
        <v>-0.43538150373858453</v>
      </c>
      <c r="K9" s="350">
        <f>IF(ISNUMBER((Tasas!E9-Datos!BG9)/Datos!BG9),(Tasas!E9-Datos!BG9)/Datos!BG9," - ")</f>
        <v>-9.1808273231315865E-2</v>
      </c>
      <c r="M9" t="e">
        <f>IF(Monitorios="SI",Datos!CE9,0)</f>
        <v>#REF!</v>
      </c>
      <c r="N9" t="e">
        <f>IF(Monitorios="SI",Datos!CF9,0)</f>
        <v>#REF!</v>
      </c>
      <c r="O9" t="e">
        <f>IF(Monitorios="SI",Datos!CG9,0)</f>
        <v>#REF!</v>
      </c>
      <c r="P9" t="e">
        <f>IF(Monitorios="SI",Datos!CH9,0)</f>
        <v>#REF!</v>
      </c>
      <c r="Q9">
        <f>IF(J_V="SI",0,Datos!AG9)</f>
        <v>126</v>
      </c>
      <c r="R9">
        <f>IF(J_V="SI",0,Datos!AH9)</f>
        <v>434</v>
      </c>
      <c r="S9">
        <f>IF(J_V="SI",0,Datos!AI9)</f>
        <v>471</v>
      </c>
      <c r="T9">
        <f>IF(J_V="SI",0,Datos!AJ9)</f>
        <v>98</v>
      </c>
    </row>
    <row r="10" spans="2:20" ht="14.25">
      <c r="B10" s="274" t="s">
        <v>246</v>
      </c>
      <c r="C10" s="7" t="str">
        <f>Datos!A10</f>
        <v>Jdos. Violencia contra la mujer/Secc Viol. TI.</v>
      </c>
      <c r="D10" s="351">
        <f>IF(ISNUMBER((Datos!I10-Datos!S10)/Datos!S10),(Datos!I10-Datos!S10)/Datos!S10," - ")</f>
        <v>0.94736842105263153</v>
      </c>
      <c r="E10" s="347">
        <f>IF(ISNUMBER((Datos!J10-Datos!T10)/Datos!T10),(Datos!J10-Datos!T10)/Datos!T10," - ")</f>
        <v>-0.15767634854771784</v>
      </c>
      <c r="F10" s="347">
        <f>IF(ISNUMBER((Datos!K10-Datos!U10)/Datos!U10),(Datos!K10-Datos!U10)/Datos!U10," - ")</f>
        <v>0.46357615894039733</v>
      </c>
      <c r="G10" s="348">
        <f>IF(ISNUMBER((Datos!L10-Datos!V10)/Datos!V10),(Datos!L10-Datos!V10)/Datos!V10," - ")</f>
        <v>-9.7297297297297303E-2</v>
      </c>
      <c r="H10" s="229">
        <f>IF(ISNUMBER((Datos!M10-Datos!W10)/Datos!W10),(Datos!M10-Datos!W10)/Datos!W10," - ")</f>
        <v>1.5862068965517242</v>
      </c>
      <c r="I10" s="349">
        <f>IF(ISNUMBER((Tasas!C10-Datos!BE10)/Datos!BE10),(Tasas!C10-Datos!BE10)/Datos!BE10," - ")</f>
        <v>-0.38322123028005384</v>
      </c>
      <c r="J10" s="348">
        <f>IF(ISNUMBER((Tasas!D10-Datos!BF10)/Datos!BF10),(Tasas!D10-Datos!BF10)/Datos!BF10," - ")</f>
        <v>0.76704634108285219</v>
      </c>
      <c r="K10" s="350">
        <f>IF(ISNUMBER((Tasas!E10-Datos!BG10)/Datos!BG10),(Tasas!E10-Datos!BG10)/Datos!BG10," - ")</f>
        <v>-0.21099978452919624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-3.6199095022624438E-2</v>
      </c>
      <c r="I11" s="349">
        <f>IF(ISNUMBER((Tasas!C11-Datos!BE11)/Datos!BE11),(Tasas!C11-Datos!BE11)/Datos!BE11," - ")</f>
        <v>-0.17649401481697741</v>
      </c>
      <c r="J11" s="348">
        <f>IF(ISNUMBER((Tasas!D11-Datos!BF11)/Datos!BF11),(Tasas!D11-Datos!BF11)/Datos!BF11," - ")</f>
        <v>-0.46725046669912829</v>
      </c>
      <c r="K11" s="350">
        <f>IF(ISNUMBER((Tasas!E11-Datos!BG11)/Datos!BG11),(Tasas!E11-Datos!BG11)/Datos!BG11," - ")</f>
        <v>-6.0870781070356553E-2</v>
      </c>
      <c r="M11" t="e">
        <f>IF(Monitorios="SI",Datos!CE11,0)</f>
        <v>#REF!</v>
      </c>
      <c r="N11" t="e">
        <f>IF(Monitorios="SI",Datos!CF11,0)</f>
        <v>#REF!</v>
      </c>
      <c r="O11" t="e">
        <f>IF(Monitorios="SI",Datos!CG11,0)</f>
        <v>#REF!</v>
      </c>
      <c r="P11" t="e">
        <f>IF(Monitorios="SI",Datos!CH11,0)</f>
        <v>#REF!</v>
      </c>
      <c r="Q11">
        <f>IF(J_V="SI",0,Datos!AG11)</f>
        <v>69</v>
      </c>
      <c r="R11">
        <f>IF(J_V="SI",0,Datos!AH11)</f>
        <v>699</v>
      </c>
      <c r="S11">
        <f>IF(J_V="SI",0,Datos!AI11)</f>
        <v>599</v>
      </c>
      <c r="T11">
        <f>IF(J_V="SI",0,Datos!AJ11)</f>
        <v>169</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7.8605769230769229E-2</v>
      </c>
      <c r="I13" s="356">
        <f>IF(ISNUMBER((Tasas!C13-Datos!BE13)/Datos!BE13),(Tasas!C13-Datos!BE13)/Datos!BE13," - ")</f>
        <v>-0.23508937435118696</v>
      </c>
      <c r="J13" s="354">
        <f>IF(ISNUMBER((Tasas!D13-Datos!BF13)/Datos!BF13),(Tasas!D13-Datos!BF13)/Datos!BF13," - ")</f>
        <v>-0.4364742142478083</v>
      </c>
      <c r="K13" s="357">
        <f>IF(ISNUMBER((Tasas!E13-Datos!BG13)/Datos!BG13),(Tasas!E13-Datos!BG13)/Datos!BG13," - ")</f>
        <v>-8.6184559623401394E-2</v>
      </c>
      <c r="M13" t="e">
        <f>IF(Monitorios="SI",Datos!CE13,0)</f>
        <v>#REF!</v>
      </c>
      <c r="N13" t="e">
        <f>IF(Monitorios="SI",Datos!CF13,0)</f>
        <v>#REF!</v>
      </c>
      <c r="O13" t="e">
        <f>IF(Monitorios="SI",Datos!CG13,0)</f>
        <v>#REF!</v>
      </c>
      <c r="P13" t="e">
        <f>IF(Monitorios="SI",Datos!CH13,0)</f>
        <v>#REF!</v>
      </c>
      <c r="Q13">
        <f>IF(J_V="SI",0,Datos!AG13)</f>
        <v>195</v>
      </c>
      <c r="R13">
        <f>IF(J_V="SI",0,Datos!AH13)</f>
        <v>1133</v>
      </c>
      <c r="S13">
        <f>IF(J_V="SI",0,Datos!AI13)</f>
        <v>1070</v>
      </c>
      <c r="T13">
        <f>IF(J_V="SI",0,Datos!AJ13)</f>
        <v>267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0.15188762071992976</v>
      </c>
      <c r="E15" s="347">
        <f>IF(ISNUMBER(
   IF(D_I="SI",(Datos!J15-Datos!T15)/Datos!T15,(Datos!J15+Datos!AD15-(Datos!T15+Datos!AL15))/(Datos!T15+Datos!AL15))
     ),IF(D_I="SI",(Datos!J15-Datos!T15)/Datos!T15,(Datos!J15+Datos!AD15-(Datos!T15+Datos!AL15))/(Datos!T15+Datos!AL15))," - ")</f>
        <v>-5.4911059551430781E-2</v>
      </c>
      <c r="F15" s="347">
        <f>IF(ISNUMBER(
   IF(D_I="SI",(Datos!K15-Datos!U15)/Datos!U15,(Datos!K15+Datos!AE15-(Datos!U15+Datos!AM15))/(Datos!U15+Datos!AM15))
     ),IF(D_I="SI",(Datos!K15-Datos!U15)/Datos!U15,(Datos!K15+Datos!AE15-(Datos!U15+Datos!AM15))/(Datos!U15+Datos!AM15))," - ")</f>
        <v>3.4358618076170022E-2</v>
      </c>
      <c r="G15" s="348">
        <f>IF(ISNUMBER(
   IF(D_I="SI",(Datos!L15-Datos!V15)/Datos!V15,(Datos!L15+Datos!AF15-(Datos!V15+Datos!AN15))/(Datos!V15+Datos!AN15))
     ),IF(D_I="SI",(Datos!L15-Datos!V15)/Datos!V15,(Datos!L15+Datos!AF15-(Datos!V15+Datos!AN15))/(Datos!V15+Datos!AN15))," - ")</f>
        <v>-5.1829268292682924E-2</v>
      </c>
      <c r="H15" s="229">
        <f>IF(ISNUMBER((Datos!M15-Datos!W15)/Datos!W15),(Datos!M15-Datos!W15)/Datos!W15," - ")</f>
        <v>-0.12609819121447027</v>
      </c>
      <c r="I15" s="349">
        <f>IF(ISNUMBER((Tasas!C15-Datos!BE15)/Datos!BE15),(Tasas!C15-Datos!BE15)/Datos!BE15," - ")</f>
        <v>-8.332495602845752E-2</v>
      </c>
      <c r="J15" s="348">
        <f>IF(ISNUMBER((Tasas!D15-Datos!BF15)/Datos!BF15),(Tasas!D15-Datos!BF15)/Datos!BF15," - ")</f>
        <v>-0.15512686459661157</v>
      </c>
      <c r="K15" s="350">
        <f>IF(ISNUMBER((Tasas!E15-Datos!BG15)/Datos!BG15),(Tasas!E15-Datos!BG15)/Datos!BG15," - ")</f>
        <v>-2.8514867679549888E-2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1.343558282208589</v>
      </c>
      <c r="E17" s="347">
        <f>IF(ISNUMBER(
   IF(D_I="SI",(Datos!J17-Datos!T17)/Datos!T17,(Datos!J17+Datos!AD17-(Datos!T17+Datos!AL17))/(Datos!T17+Datos!AL17))
     ),IF(D_I="SI",(Datos!J17-Datos!T17)/Datos!T17,(Datos!J17+Datos!AD17-(Datos!T17+Datos!AL17))/(Datos!T17+Datos!AL17))," - ")</f>
        <v>4.5372050816696916E-2</v>
      </c>
      <c r="F17" s="347">
        <f>IF(ISNUMBER(
   IF(D_I="SI",(Datos!K17-Datos!U17)/Datos!U17,(Datos!K17+Datos!AE17-(Datos!U17+Datos!AM17))/(Datos!U17+Datos!AM17))
     ),IF(D_I="SI",(Datos!K17-Datos!U17)/Datos!U17,(Datos!K17+Datos!AE17-(Datos!U17+Datos!AM17))/(Datos!U17+Datos!AM17))," - ")</f>
        <v>0.1882750845546787</v>
      </c>
      <c r="G17" s="348">
        <f>IF(ISNUMBER(
   IF(D_I="SI",(Datos!L17-Datos!V17)/Datos!V17,(Datos!L17+Datos!AF17-(Datos!V17+Datos!AN17))/(Datos!V17+Datos!AN17))
     ),IF(D_I="SI",(Datos!L17-Datos!V17)/Datos!V17,(Datos!L17+Datos!AF17-(Datos!V17+Datos!AN17))/(Datos!V17+Datos!AN17))," - ")</f>
        <v>0.30628272251308902</v>
      </c>
      <c r="H17" s="229">
        <f>IF(ISNUMBER((Datos!M17-Datos!W17)/Datos!W17),(Datos!M17-Datos!W17)/Datos!W17," - ")</f>
        <v>0</v>
      </c>
      <c r="I17" s="349">
        <f>IF(ISNUMBER((Tasas!C17-Datos!BE17)/Datos!BE17),(Tasas!C17-Datos!BE17)/Datos!BE17," - ")</f>
        <v>9.9310033082647006E-2</v>
      </c>
      <c r="J17" s="348">
        <f>IF(ISNUMBER((Tasas!D17-Datos!BF17)/Datos!BF17),(Tasas!D17-Datos!BF17)/Datos!BF17," - ")</f>
        <v>-0.15844402277039851</v>
      </c>
      <c r="K17" s="350">
        <f>IF(ISNUMBER((Tasas!E17-Datos!BG17)/Datos!BG17),(Tasas!E17-Datos!BG17)/Datos!BG17," - ")</f>
        <v>2.0511358948781488E-2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0.17964842075175075</v>
      </c>
      <c r="E18" s="353">
        <f>IF(ISNUMBER(
   IF(D_I="SI",(Datos!J18-Datos!T18)/Datos!T18,(Datos!J18+Datos!AD18-(Datos!T18+Datos!AL18))/(Datos!T18+Datos!AL18))
     ),IF(D_I="SI",(Datos!J18-Datos!T18)/Datos!T18,(Datos!J18+Datos!AD18-(Datos!T18+Datos!AL18))/(Datos!T18+Datos!AL18))," - ")</f>
        <v>-4.8740997152587798E-2</v>
      </c>
      <c r="F18" s="353">
        <f>IF(ISNUMBER(
   IF(D_I="SI",(Datos!K18-Datos!U18)/Datos!U18,(Datos!K18+Datos!AE18-(Datos!U18+Datos!AM18))/(Datos!U18+Datos!AM18))
     ),IF(D_I="SI",(Datos!K18-Datos!U18)/Datos!U18,(Datos!K18+Datos!AE18-(Datos!U18+Datos!AM18))/(Datos!U18+Datos!AM18))," - ")</f>
        <v>4.2523923444976075E-2</v>
      </c>
      <c r="G18" s="354">
        <f>IF(ISNUMBER(
   IF(D_I="SI",(Datos!L18-Datos!V18)/Datos!V18,(Datos!L18+Datos!AF18-(Datos!V18+Datos!AN18))/(Datos!V18+Datos!AN18))
     ),IF(D_I="SI",(Datos!L18-Datos!V18)/Datos!V18,(Datos!L18+Datos!AF18-(Datos!V18+Datos!AN18))/(Datos!V18+Datos!AN18))," - ")</f>
        <v>-3.5255633632178339E-2</v>
      </c>
      <c r="H18" s="355">
        <f>IF(ISNUMBER((Datos!M18-Datos!W18)/Datos!W18),(Datos!M18-Datos!W18)/Datos!W18," - ")</f>
        <v>-0.12127236580516898</v>
      </c>
      <c r="I18" s="356">
        <f>IF(ISNUMBER((Tasas!C18-Datos!BE18)/Datos!BE18),(Tasas!C18-Datos!BE18)/Datos!BE18," - ")</f>
        <v>-7.4606975751822721E-2</v>
      </c>
      <c r="J18" s="354">
        <f>IF(ISNUMBER((Tasas!D18-Datos!BF18)/Datos!BF18),(Tasas!D18-Datos!BF18)/Datos!BF18," - ")</f>
        <v>-0.15711513718446593</v>
      </c>
      <c r="K18" s="357">
        <f>IF(ISNUMBER((Tasas!E18-Datos!BG18)/Datos!BG18),(Tasas!E18-Datos!BG18)/Datos!BG18," - ")</f>
        <v>-2.6001503903937993E-2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1.6082711085582999E-2</v>
      </c>
      <c r="E19" s="362">
        <f>IF(ISNUMBER(
   IF(J_V="SI",(Datos!J19-Datos!T19)/Datos!T19,(Datos!J19+Datos!Z19-(Datos!T19+Datos!AH19))/(Datos!T19+Datos!AH19))
     ),IF(J_V="SI",(Datos!J19-Datos!T19)/Datos!T19,(Datos!J19+Datos!Z19-(Datos!T19+Datos!AH19))/(Datos!T19+Datos!AH19))," - ")</f>
        <v>-2.4515607403771188E-2</v>
      </c>
      <c r="F19" s="362">
        <f>IF(ISNUMBER(
   IF(J_V="SI",(Datos!K19-Datos!U19)/Datos!U19,(Datos!K19+Datos!AA19-(Datos!U19+Datos!AI19))/(Datos!U19+Datos!AI19))
     ),IF(J_V="SI",(Datos!K19-Datos!U19)/Datos!U19,(Datos!K19+Datos!AA19-(Datos!U19+Datos!AI19))/(Datos!U19+Datos!AI19))," - ")</f>
        <v>4.9376965179923141E-2</v>
      </c>
      <c r="G19" s="363">
        <f>IF(ISNUMBER(
   IF(J_V="SI",(Datos!L19-Datos!V19)/Datos!V19,(Datos!L19+Datos!AB19-(Datos!V19+Datos!AJ19))/(Datos!V19+Datos!AJ19))
     ),IF(J_V="SI",(Datos!L19-Datos!V19)/Datos!V19,(Datos!L19+Datos!AB19-(Datos!V19+Datos!AJ19))/(Datos!V19+Datos!AJ19))," - ")</f>
        <v>-0.11905031091011871</v>
      </c>
      <c r="H19" s="364">
        <f>IF(ISNUMBER((Datos!M19-Datos!W19)/Datos!W19),(Datos!M19-Datos!W19)/Datos!W19," - ")</f>
        <v>1.3447828904731044E-2</v>
      </c>
      <c r="I19" s="361">
        <f>IF(ISNUMBER((Tasas!C19-Datos!BE19)/Datos!BE19),(Tasas!C19-Datos!BE19)/Datos!BE19," - ")</f>
        <v>-0.160502166217422</v>
      </c>
      <c r="J19" s="362">
        <f>IF(ISNUMBER((Tasas!D19-Datos!BF19)/Datos!BF19),(Tasas!D19-Datos!BF19)/Datos!BF19," - ")</f>
        <v>-0.37604106303979656</v>
      </c>
      <c r="K19" s="363">
        <f>IF(ISNUMBER((Tasas!E19-Datos!BG19)/Datos!BG19),(Tasas!E19-Datos!BG19)/Datos!BG19," - ")</f>
        <v>-5.747281871228737E-2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0.58840787311399489</v>
      </c>
      <c r="E21" s="277">
        <f t="shared" si="1"/>
        <v>8.297002751179805E-2</v>
      </c>
      <c r="F21" s="277">
        <f t="shared" si="1"/>
        <v>0.20047936630922472</v>
      </c>
      <c r="G21" s="278">
        <f t="shared" si="1"/>
        <v>0.18573293419252923</v>
      </c>
      <c r="H21" s="284">
        <f t="shared" si="1"/>
        <v>0.61285181593056159</v>
      </c>
      <c r="I21" s="276">
        <f t="shared" si="1"/>
        <v>0.15478295123911737</v>
      </c>
      <c r="J21" s="277">
        <f t="shared" si="1"/>
        <v>0.42919937526510044</v>
      </c>
      <c r="K21" s="278">
        <f t="shared" si="1"/>
        <v>7.364966811013661E-2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LrK9ls7PteRpaRBxtui9aTUZZ9+g4gc0XDJuDLvETfZbd0dXqotZtHf3K1Iun8di3ng6ic9Q3iCBIDrhM0oVw==" saltValue="bqHI+fTbQPdN2+qOobdrG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